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880" yWindow="65456" windowWidth="21700" windowHeight="17520" tabRatio="500" activeTab="0"/>
  </bookViews>
  <sheets>
    <sheet name="First time LW calculation" sheetId="1" r:id="rId1"/>
    <sheet name="Using last year's LW income" sheetId="2" r:id="rId2"/>
  </sheets>
  <definedNames/>
  <calcPr fullCalcOnLoad="1"/>
</workbook>
</file>

<file path=xl/sharedStrings.xml><?xml version="1.0" encoding="utf-8"?>
<sst xmlns="http://schemas.openxmlformats.org/spreadsheetml/2006/main" count="204" uniqueCount="104">
  <si>
    <r>
      <t>Note:</t>
    </r>
    <r>
      <rPr>
        <sz val="8"/>
        <rFont val="Arial"/>
        <family val="0"/>
      </rPr>
      <t xml:space="preserve"> Most of these amounts can be verified with CRA's online calculator http://www.cra-arc.gc.ca/ebci/icbc/simnet/SimnController</t>
    </r>
  </si>
  <si>
    <t>Use BC Housing RAP calculator http://www.bchousing.org/Options/Rental_market/RAP/Calculator</t>
  </si>
  <si>
    <r>
      <t>Note:</t>
    </r>
    <r>
      <rPr>
        <sz val="10"/>
        <rFont val="Verdana"/>
        <family val="0"/>
      </rPr>
      <t xml:space="preserve"> Most of these amounts can be verified with CRA's online calculator http://www.cra-arc.gc.ca/ebci/icbc/simnet/SimnController</t>
    </r>
  </si>
  <si>
    <t>Table IIa:  Last Year's Family Income (For Government Transfers)</t>
  </si>
  <si>
    <t>Formula</t>
  </si>
  <si>
    <t>2011 Incomes</t>
  </si>
  <si>
    <t>Employment income</t>
  </si>
  <si>
    <t>UCCB claimed</t>
  </si>
  <si>
    <t>Childcare expenses claimed</t>
  </si>
  <si>
    <t>Adjustments</t>
  </si>
  <si>
    <t>Net Income</t>
  </si>
  <si>
    <t>EI Premiums</t>
  </si>
  <si>
    <t>CPP Premiums</t>
  </si>
  <si>
    <t>Fed. Income Tax</t>
  </si>
  <si>
    <t>Prov. Income Tax</t>
  </si>
  <si>
    <t>After Tax Income</t>
  </si>
  <si>
    <t>B51 (Adj.)</t>
  </si>
  <si>
    <t>Division of Income, Expenses, Tax Credits</t>
  </si>
  <si>
    <t>Transit Exp.</t>
  </si>
  <si>
    <t xml:space="preserve">                Table IV:  The Living Wage and Government Deductions and Taxes</t>
  </si>
  <si>
    <t>Parent 1</t>
  </si>
  <si>
    <t>Parent 2</t>
  </si>
  <si>
    <t>Hours / Week</t>
  </si>
  <si>
    <t>Division of Income, Expenses, Tax Credits</t>
  </si>
  <si>
    <t>Wage</t>
  </si>
  <si>
    <t>Amount</t>
  </si>
  <si>
    <t>Employment Income</t>
  </si>
  <si>
    <t>Child Tax Cr.</t>
  </si>
  <si>
    <t>Adjustments</t>
  </si>
  <si>
    <t>CC Exp.</t>
  </si>
  <si>
    <t>Transit Exp.</t>
  </si>
  <si>
    <t>Net Income</t>
  </si>
  <si>
    <t>Med. Exp.</t>
  </si>
  <si>
    <t>Tuition Exp.</t>
  </si>
  <si>
    <t>EI Premiums</t>
  </si>
  <si>
    <t>Ref. Med Exp. Supplement</t>
  </si>
  <si>
    <t>WITB</t>
  </si>
  <si>
    <t>CPP Premiums</t>
  </si>
  <si>
    <t>Fed. Income Tax</t>
  </si>
  <si>
    <t>Fed. Refundable TC</t>
  </si>
  <si>
    <t>No WITB at FNI</t>
  </si>
  <si>
    <t>Prov. Income Tax</t>
  </si>
  <si>
    <t>No BC TR at NI</t>
  </si>
  <si>
    <t>After Tax Income</t>
  </si>
  <si>
    <t>Monthly After Tax Inc.</t>
  </si>
  <si>
    <t xml:space="preserve">     Table V:  Family Income less Gov't Deductions and Taxes plus Gov't Transfers</t>
  </si>
  <si>
    <t>Total Annual Income from Employment</t>
  </si>
  <si>
    <t xml:space="preserve">  - EI, CPP, Fed. and Prov. Taxes</t>
  </si>
  <si>
    <t>Equals Family Take Home Pay</t>
  </si>
  <si>
    <t xml:space="preserve">  + CCTB, UCCB, GST, RAP, BCLICATC</t>
  </si>
  <si>
    <t>Equals Total Disposable Family Income</t>
  </si>
  <si>
    <t xml:space="preserve">  - Family Expenses</t>
  </si>
  <si>
    <t>Equals Income less expenses</t>
  </si>
  <si>
    <t xml:space="preserve"> </t>
  </si>
  <si>
    <t xml:space="preserve">        Children ages 4 and 7: 1 child in full-time child care, and 1 child in before and after school care and summer care. Family has a car and bus pass for one of the parents.</t>
  </si>
  <si>
    <t>Modified MBM</t>
  </si>
  <si>
    <t>Use BC Housing RAP calculator http://www.bchousing.org/Options/Rental_market/RAP/Calculator</t>
  </si>
  <si>
    <t xml:space="preserve"> Living Wage Calculation: Vancouver - January 2012:  35 hrs/wk + 35 hrs/wk</t>
  </si>
  <si>
    <t xml:space="preserve">      Two Parent, Two Children, Two Income Family</t>
  </si>
  <si>
    <t>Table I:  Family Expenses</t>
  </si>
  <si>
    <t>Item</t>
  </si>
  <si>
    <t>Monthly</t>
  </si>
  <si>
    <t>Annually</t>
  </si>
  <si>
    <t>% of Total</t>
  </si>
  <si>
    <t>% of Pre Tax</t>
  </si>
  <si>
    <t>Modified MBM</t>
  </si>
  <si>
    <t>Expenses</t>
  </si>
  <si>
    <t>Income</t>
  </si>
  <si>
    <t xml:space="preserve">    Food</t>
  </si>
  <si>
    <t xml:space="preserve">    Clothing and Footwear</t>
  </si>
  <si>
    <t xml:space="preserve">    Shelter</t>
  </si>
  <si>
    <t xml:space="preserve">    Transportation</t>
  </si>
  <si>
    <t xml:space="preserve">    Other</t>
  </si>
  <si>
    <t>Subtotal</t>
  </si>
  <si>
    <t>Child Care</t>
  </si>
  <si>
    <t>Non MSP Health Ex</t>
  </si>
  <si>
    <t>MSP</t>
  </si>
  <si>
    <t>2 Weeks Pay</t>
  </si>
  <si>
    <t>Parent Education</t>
  </si>
  <si>
    <t>Total</t>
  </si>
  <si>
    <t>Table II:  Non-Wage Income (Government Transfers)</t>
  </si>
  <si>
    <t>Formula</t>
  </si>
  <si>
    <t>BR at FNI</t>
  </si>
  <si>
    <t>$0 at FNI</t>
  </si>
  <si>
    <t>No NCBS at FNI</t>
  </si>
  <si>
    <t>Canada CTB</t>
  </si>
  <si>
    <t>UCCB</t>
  </si>
  <si>
    <t>Family Bonus</t>
  </si>
  <si>
    <t>GST</t>
  </si>
  <si>
    <t>RAP</t>
  </si>
  <si>
    <t>BCLICATC</t>
  </si>
  <si>
    <t>Child Care Subs.</t>
  </si>
  <si>
    <t>BCHSTC</t>
  </si>
  <si>
    <t>Table III:  Family Income Less Family Expenses</t>
  </si>
  <si>
    <t>Provincial Child Care Subsidy Amount</t>
  </si>
  <si>
    <t>Available Annual Income</t>
  </si>
  <si>
    <t>Child</t>
  </si>
  <si>
    <t>Max. Subs.</t>
  </si>
  <si>
    <t>CT</t>
  </si>
  <si>
    <t>Amt of Subs.</t>
  </si>
  <si>
    <t>B51 (Adj.)</t>
  </si>
  <si>
    <t>Annual Family Expenses</t>
  </si>
  <si>
    <t>Gap</t>
  </si>
  <si>
    <t>Both Subs.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</si>
</sst>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quot;$&quot;#,##0"/>
    <numFmt numFmtId="168" formatCode="0.0"/>
    <numFmt numFmtId="169" formatCode="&quot;$&quot;#,##0.00"/>
    <numFmt numFmtId="170" formatCode="General"/>
    <numFmt numFmtId="171" formatCode="0.000000000"/>
    <numFmt numFmtId="172" formatCode="0.00"/>
    <numFmt numFmtId="173" formatCode="0.0000000000000"/>
  </numFmts>
  <fonts count="16">
    <font>
      <sz val="10"/>
      <name val="Verdana"/>
      <family val="0"/>
    </font>
    <font>
      <b/>
      <sz val="10"/>
      <name val="Verdana"/>
      <family val="0"/>
    </font>
    <font>
      <i/>
      <sz val="10"/>
      <name val="Verdana"/>
      <family val="0"/>
    </font>
    <font>
      <b/>
      <i/>
      <sz val="10"/>
      <name val="Verdana"/>
      <family val="0"/>
    </font>
    <font>
      <sz val="8"/>
      <name val="Verdana"/>
      <family val="0"/>
    </font>
    <font>
      <sz val="14"/>
      <name val="Arial"/>
      <family val="2"/>
    </font>
    <font>
      <sz val="10"/>
      <name val="Arial"/>
      <family val="0"/>
    </font>
    <font>
      <sz val="12"/>
      <name val="Arial"/>
      <family val="2"/>
    </font>
    <font>
      <b/>
      <sz val="12"/>
      <name val="Arial"/>
      <family val="2"/>
    </font>
    <font>
      <b/>
      <sz val="10"/>
      <name val="Arial"/>
      <family val="2"/>
    </font>
    <font>
      <b/>
      <sz val="8"/>
      <name val="Arial"/>
      <family val="2"/>
    </font>
    <font>
      <sz val="8"/>
      <name val="Arial"/>
      <family val="0"/>
    </font>
    <font>
      <u val="single"/>
      <sz val="10"/>
      <color indexed="12"/>
      <name val="Verdana"/>
      <family val="0"/>
    </font>
    <font>
      <u val="single"/>
      <sz val="10"/>
      <color indexed="61"/>
      <name val="Verdana"/>
      <family val="0"/>
    </font>
    <font>
      <sz val="10"/>
      <color indexed="8"/>
      <name val="Verdana"/>
      <family val="0"/>
    </font>
    <font>
      <sz val="10"/>
      <color indexed="10"/>
      <name val="Verdana"/>
      <family val="0"/>
    </font>
  </fonts>
  <fills count="3">
    <fill>
      <patternFill/>
    </fill>
    <fill>
      <patternFill patternType="gray125"/>
    </fill>
    <fill>
      <patternFill patternType="solid">
        <fgColor indexed="22"/>
        <bgColor indexed="64"/>
      </patternFill>
    </fill>
  </fills>
  <borders count="5">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17" fontId="8" fillId="0" borderId="0" xfId="0" applyNumberFormat="1" applyFont="1" applyAlignment="1">
      <alignment horizontal="right"/>
    </xf>
    <xf numFmtId="0" fontId="8" fillId="0" borderId="0" xfId="0" applyFont="1" applyAlignment="1">
      <alignment horizontal="left"/>
    </xf>
    <xf numFmtId="0" fontId="8" fillId="0" borderId="0" xfId="0" applyFont="1" applyAlignment="1">
      <alignment/>
    </xf>
    <xf numFmtId="0" fontId="0" fillId="0" borderId="0" xfId="0" applyBorder="1" applyAlignment="1">
      <alignment/>
    </xf>
    <xf numFmtId="0" fontId="9" fillId="0" borderId="0" xfId="0" applyFont="1" applyBorder="1" applyAlignment="1">
      <alignment horizontal="center"/>
    </xf>
    <xf numFmtId="0" fontId="9" fillId="0" borderId="0" xfId="0" applyFont="1" applyAlignment="1">
      <alignment horizontal="center"/>
    </xf>
    <xf numFmtId="0" fontId="9" fillId="0" borderId="0" xfId="0" applyFont="1" applyAlignment="1">
      <alignment/>
    </xf>
    <xf numFmtId="164" fontId="0" fillId="0" borderId="0" xfId="21" applyNumberFormat="1" applyFont="1" applyAlignment="1">
      <alignment/>
    </xf>
    <xf numFmtId="0" fontId="9" fillId="0" borderId="1" xfId="0" applyFont="1" applyBorder="1" applyAlignment="1">
      <alignment/>
    </xf>
    <xf numFmtId="0" fontId="9" fillId="0" borderId="1"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right"/>
    </xf>
    <xf numFmtId="0" fontId="11" fillId="0" borderId="0" xfId="0" applyFont="1" applyBorder="1" applyAlignment="1">
      <alignment horizontal="left"/>
    </xf>
    <xf numFmtId="2" fontId="11" fillId="0" borderId="0" xfId="0" applyNumberFormat="1" applyFont="1" applyBorder="1" applyAlignment="1">
      <alignment horizontal="right"/>
    </xf>
    <xf numFmtId="0" fontId="9" fillId="0" borderId="0" xfId="0" applyFont="1" applyAlignment="1">
      <alignment horizontal="left"/>
    </xf>
    <xf numFmtId="0" fontId="0" fillId="0" borderId="1" xfId="0" applyBorder="1" applyAlignment="1">
      <alignment/>
    </xf>
    <xf numFmtId="2" fontId="0" fillId="0" borderId="1" xfId="0" applyNumberFormat="1" applyBorder="1" applyAlignment="1">
      <alignment/>
    </xf>
    <xf numFmtId="0" fontId="10" fillId="0" borderId="1" xfId="0" applyFont="1" applyBorder="1" applyAlignment="1">
      <alignment/>
    </xf>
    <xf numFmtId="0" fontId="11" fillId="0" borderId="0" xfId="0" applyFont="1" applyBorder="1" applyAlignment="1">
      <alignment horizontal="right"/>
    </xf>
    <xf numFmtId="2" fontId="11" fillId="0" borderId="0" xfId="0" applyNumberFormat="1" applyFont="1" applyBorder="1" applyAlignment="1">
      <alignment horizontal="left"/>
    </xf>
    <xf numFmtId="2" fontId="0" fillId="0" borderId="0" xfId="0" applyNumberFormat="1" applyBorder="1" applyAlignment="1">
      <alignment/>
    </xf>
    <xf numFmtId="2" fontId="0" fillId="0" borderId="0" xfId="0" applyNumberFormat="1" applyAlignment="1">
      <alignment/>
    </xf>
    <xf numFmtId="0" fontId="0" fillId="0" borderId="0" xfId="0" applyAlignment="1">
      <alignment horizontal="left"/>
    </xf>
    <xf numFmtId="0" fontId="0" fillId="0" borderId="0" xfId="0" applyAlignment="1">
      <alignment horizontal="center"/>
    </xf>
    <xf numFmtId="164" fontId="11" fillId="0" borderId="1" xfId="21" applyNumberFormat="1" applyFont="1" applyBorder="1" applyAlignment="1">
      <alignment horizontal="center"/>
    </xf>
    <xf numFmtId="2" fontId="10" fillId="0" borderId="0" xfId="0" applyNumberFormat="1" applyFont="1" applyBorder="1" applyAlignment="1">
      <alignment horizontal="left"/>
    </xf>
    <xf numFmtId="2" fontId="10" fillId="0" borderId="0" xfId="0" applyNumberFormat="1" applyFont="1" applyAlignment="1">
      <alignment/>
    </xf>
    <xf numFmtId="165" fontId="11" fillId="0" borderId="0" xfId="0" applyNumberFormat="1" applyFont="1" applyBorder="1" applyAlignment="1">
      <alignment horizontal="right"/>
    </xf>
    <xf numFmtId="166" fontId="11" fillId="0" borderId="0" xfId="0" applyNumberFormat="1" applyFont="1" applyAlignment="1">
      <alignment/>
    </xf>
    <xf numFmtId="164" fontId="0" fillId="0" borderId="0" xfId="0" applyNumberFormat="1" applyAlignment="1">
      <alignment/>
    </xf>
    <xf numFmtId="0" fontId="11" fillId="0" borderId="0" xfId="0" applyFont="1" applyAlignment="1">
      <alignment/>
    </xf>
    <xf numFmtId="2" fontId="11" fillId="0" borderId="0" xfId="0" applyNumberFormat="1" applyFont="1" applyAlignment="1">
      <alignment/>
    </xf>
    <xf numFmtId="165" fontId="11" fillId="0" borderId="0" xfId="0" applyNumberFormat="1" applyFont="1" applyBorder="1" applyAlignment="1">
      <alignment horizontal="left"/>
    </xf>
    <xf numFmtId="2" fontId="11" fillId="0" borderId="0" xfId="0" applyNumberFormat="1" applyFont="1" applyBorder="1" applyAlignment="1">
      <alignment/>
    </xf>
    <xf numFmtId="164" fontId="0" fillId="0" borderId="0" xfId="21" applyNumberFormat="1" applyFont="1" applyBorder="1" applyAlignment="1">
      <alignment/>
    </xf>
    <xf numFmtId="2" fontId="0" fillId="0" borderId="1" xfId="0" applyNumberFormat="1" applyFill="1" applyBorder="1" applyAlignment="1">
      <alignment/>
    </xf>
    <xf numFmtId="2" fontId="10" fillId="0" borderId="0" xfId="0" applyNumberFormat="1" applyFont="1" applyBorder="1" applyAlignment="1">
      <alignment/>
    </xf>
    <xf numFmtId="2" fontId="10" fillId="0" borderId="1" xfId="0" applyNumberFormat="1" applyFont="1" applyBorder="1" applyAlignment="1">
      <alignment/>
    </xf>
    <xf numFmtId="164" fontId="10" fillId="0" borderId="1" xfId="21" applyNumberFormat="1" applyFont="1" applyBorder="1" applyAlignment="1">
      <alignment horizontal="center"/>
    </xf>
    <xf numFmtId="0" fontId="10" fillId="0" borderId="0" xfId="0" applyFont="1" applyAlignment="1">
      <alignment/>
    </xf>
    <xf numFmtId="1" fontId="0" fillId="0" borderId="0" xfId="0" applyNumberFormat="1" applyAlignment="1">
      <alignment/>
    </xf>
    <xf numFmtId="2" fontId="0" fillId="0" borderId="0" xfId="0" applyNumberFormat="1" applyBorder="1" applyAlignment="1" quotePrefix="1">
      <alignment/>
    </xf>
    <xf numFmtId="0" fontId="6" fillId="0" borderId="0" xfId="0" applyFont="1" applyAlignment="1">
      <alignment horizontal="left"/>
    </xf>
    <xf numFmtId="2" fontId="10" fillId="0" borderId="0" xfId="0" applyNumberFormat="1" applyFont="1" applyBorder="1" applyAlignment="1" quotePrefix="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164" fontId="11" fillId="0" borderId="0" xfId="21" applyNumberFormat="1" applyFont="1" applyAlignment="1">
      <alignment horizontal="center"/>
    </xf>
    <xf numFmtId="0" fontId="0" fillId="0" borderId="0" xfId="0" applyAlignment="1" quotePrefix="1">
      <alignment/>
    </xf>
    <xf numFmtId="0" fontId="6" fillId="0" borderId="0" xfId="0" applyFont="1" applyAlignment="1">
      <alignment horizontal="center"/>
    </xf>
    <xf numFmtId="164" fontId="9" fillId="0" borderId="0" xfId="21" applyNumberFormat="1" applyFont="1" applyAlignment="1">
      <alignment/>
    </xf>
    <xf numFmtId="164" fontId="9" fillId="0" borderId="0" xfId="0" applyNumberFormat="1" applyFont="1" applyAlignment="1">
      <alignment/>
    </xf>
    <xf numFmtId="0" fontId="9" fillId="0" borderId="1" xfId="0" applyFont="1" applyBorder="1" applyAlignment="1">
      <alignment horizontal="left"/>
    </xf>
    <xf numFmtId="0" fontId="10" fillId="0" borderId="0" xfId="0" applyFont="1" applyAlignment="1">
      <alignment horizontal="center"/>
    </xf>
    <xf numFmtId="0" fontId="10" fillId="0" borderId="0" xfId="0" applyFont="1" applyAlignment="1">
      <alignment horizontal="left"/>
    </xf>
    <xf numFmtId="0" fontId="11" fillId="0" borderId="0" xfId="0" applyFont="1" applyAlignment="1">
      <alignment horizontal="right"/>
    </xf>
    <xf numFmtId="0" fontId="11" fillId="0" borderId="0" xfId="0" applyFont="1" applyAlignment="1" quotePrefix="1">
      <alignment/>
    </xf>
    <xf numFmtId="0" fontId="11" fillId="0" borderId="0" xfId="0" applyFont="1" applyAlignment="1" quotePrefix="1">
      <alignment horizontal="left"/>
    </xf>
    <xf numFmtId="0" fontId="10" fillId="0" borderId="0" xfId="0" applyFont="1" applyAlignment="1" quotePrefix="1">
      <alignment horizontal="center"/>
    </xf>
    <xf numFmtId="0" fontId="6" fillId="0" borderId="1" xfId="0" applyFont="1" applyBorder="1" applyAlignment="1">
      <alignment/>
    </xf>
    <xf numFmtId="2" fontId="9" fillId="0" borderId="0" xfId="0" applyNumberFormat="1" applyFont="1" applyAlignment="1">
      <alignment/>
    </xf>
    <xf numFmtId="0" fontId="8" fillId="0" borderId="1" xfId="0" applyFont="1" applyBorder="1" applyAlignment="1">
      <alignment horizontal="center"/>
    </xf>
    <xf numFmtId="2" fontId="10" fillId="0" borderId="1" xfId="0" applyNumberFormat="1" applyFont="1" applyBorder="1" applyAlignment="1">
      <alignment horizontal="center"/>
    </xf>
    <xf numFmtId="0" fontId="10" fillId="0" borderId="1" xfId="0" applyFont="1" applyFill="1" applyBorder="1" applyAlignment="1">
      <alignment horizontal="center"/>
    </xf>
    <xf numFmtId="2" fontId="10" fillId="0" borderId="1" xfId="0" applyNumberFormat="1" applyFont="1" applyFill="1" applyBorder="1" applyAlignment="1">
      <alignment horizontal="center"/>
    </xf>
    <xf numFmtId="0" fontId="0" fillId="0" borderId="0" xfId="0" applyFill="1" applyAlignment="1">
      <alignment/>
    </xf>
    <xf numFmtId="2" fontId="10" fillId="0" borderId="1" xfId="0" applyNumberFormat="1" applyFont="1" applyFill="1" applyBorder="1" applyAlignment="1">
      <alignment/>
    </xf>
    <xf numFmtId="2" fontId="8" fillId="0" borderId="0" xfId="0" applyNumberFormat="1" applyFont="1" applyAlignment="1">
      <alignment/>
    </xf>
    <xf numFmtId="2" fontId="9" fillId="0" borderId="0" xfId="0" applyNumberFormat="1" applyFont="1" applyAlignment="1">
      <alignment horizontal="center"/>
    </xf>
    <xf numFmtId="0" fontId="6" fillId="0" borderId="1" xfId="0" applyFont="1" applyBorder="1" applyAlignment="1">
      <alignment horizontal="right"/>
    </xf>
    <xf numFmtId="2" fontId="11" fillId="0" borderId="1" xfId="0" applyNumberFormat="1" applyFont="1" applyBorder="1" applyAlignment="1">
      <alignment/>
    </xf>
    <xf numFmtId="2" fontId="6" fillId="0" borderId="0" xfId="0" applyNumberFormat="1" applyFont="1" applyAlignment="1">
      <alignment/>
    </xf>
    <xf numFmtId="2" fontId="9" fillId="0" borderId="1" xfId="0" applyNumberFormat="1" applyFont="1" applyFill="1" applyBorder="1" applyAlignment="1">
      <alignment/>
    </xf>
    <xf numFmtId="2" fontId="6" fillId="0" borderId="1" xfId="0" applyNumberFormat="1" applyFont="1" applyFill="1" applyBorder="1" applyAlignment="1">
      <alignment horizontal="right"/>
    </xf>
    <xf numFmtId="0" fontId="11" fillId="0" borderId="1" xfId="0" applyFont="1" applyBorder="1" applyAlignment="1">
      <alignment horizontal="center"/>
    </xf>
    <xf numFmtId="2" fontId="11" fillId="0" borderId="1" xfId="0" applyNumberFormat="1" applyFont="1" applyBorder="1" applyAlignment="1">
      <alignment horizontal="center"/>
    </xf>
    <xf numFmtId="0" fontId="11" fillId="0" borderId="1" xfId="0" applyFont="1" applyBorder="1" applyAlignment="1">
      <alignment/>
    </xf>
    <xf numFmtId="6" fontId="11" fillId="0" borderId="1" xfId="0" applyNumberFormat="1" applyFont="1" applyBorder="1" applyAlignment="1">
      <alignment/>
    </xf>
    <xf numFmtId="167" fontId="11" fillId="0" borderId="1" xfId="0" applyNumberFormat="1" applyFont="1" applyBorder="1" applyAlignment="1">
      <alignment/>
    </xf>
    <xf numFmtId="168" fontId="0" fillId="0" borderId="0" xfId="0" applyNumberFormat="1" applyAlignment="1">
      <alignment/>
    </xf>
    <xf numFmtId="169" fontId="11" fillId="0" borderId="1" xfId="0" applyNumberFormat="1" applyFont="1" applyBorder="1" applyAlignment="1">
      <alignment/>
    </xf>
    <xf numFmtId="9" fontId="0" fillId="0" borderId="0" xfId="0" applyNumberFormat="1" applyAlignment="1">
      <alignment/>
    </xf>
    <xf numFmtId="0" fontId="0" fillId="0" borderId="0" xfId="0" applyBorder="1" applyAlignment="1">
      <alignment horizontal="center"/>
    </xf>
    <xf numFmtId="167" fontId="11" fillId="0" borderId="0" xfId="0" applyNumberFormat="1" applyFont="1" applyBorder="1" applyAlignment="1">
      <alignment/>
    </xf>
    <xf numFmtId="0" fontId="11" fillId="0" borderId="0" xfId="0" applyFont="1" applyBorder="1" applyAlignment="1">
      <alignment/>
    </xf>
    <xf numFmtId="0" fontId="6" fillId="0" borderId="0" xfId="0" applyFont="1" applyAlignment="1" quotePrefix="1">
      <alignment/>
    </xf>
    <xf numFmtId="4" fontId="0" fillId="0" borderId="0" xfId="0" applyNumberFormat="1" applyAlignment="1">
      <alignment/>
    </xf>
    <xf numFmtId="4" fontId="9" fillId="0" borderId="0" xfId="0" applyNumberFormat="1" applyFont="1" applyAlignment="1">
      <alignment/>
    </xf>
    <xf numFmtId="9" fontId="0" fillId="0" borderId="0" xfId="21" applyNumberFormat="1" applyFont="1" applyAlignment="1">
      <alignment/>
    </xf>
    <xf numFmtId="2" fontId="0" fillId="2" borderId="1" xfId="0" applyNumberFormat="1" applyFill="1" applyBorder="1" applyAlignment="1">
      <alignment/>
    </xf>
    <xf numFmtId="2" fontId="10" fillId="0" borderId="0" xfId="0" applyNumberFormat="1" applyFont="1" applyBorder="1" applyAlignment="1" quotePrefix="1">
      <alignment/>
    </xf>
    <xf numFmtId="2" fontId="0" fillId="0" borderId="0" xfId="0" applyNumberFormat="1" applyBorder="1" applyAlignment="1">
      <alignment horizontal="center"/>
    </xf>
    <xf numFmtId="2" fontId="6" fillId="0" borderId="0" xfId="0" applyNumberFormat="1" applyFont="1" applyBorder="1" applyAlignment="1">
      <alignment/>
    </xf>
    <xf numFmtId="2" fontId="9" fillId="0" borderId="1" xfId="0" applyNumberFormat="1" applyFont="1" applyBorder="1" applyAlignment="1">
      <alignment/>
    </xf>
    <xf numFmtId="2" fontId="6" fillId="0" borderId="1" xfId="0" applyNumberFormat="1" applyFont="1" applyBorder="1" applyAlignment="1">
      <alignment horizontal="right"/>
    </xf>
    <xf numFmtId="0" fontId="0" fillId="0" borderId="1" xfId="0" applyFill="1" applyBorder="1" applyAlignment="1">
      <alignment/>
    </xf>
    <xf numFmtId="171" fontId="0" fillId="0" borderId="0" xfId="0" applyNumberFormat="1" applyAlignment="1">
      <alignment/>
    </xf>
    <xf numFmtId="2" fontId="6" fillId="0" borderId="1" xfId="0" applyNumberFormat="1" applyFont="1" applyFill="1" applyBorder="1" applyAlignment="1">
      <alignment/>
    </xf>
    <xf numFmtId="165" fontId="11" fillId="0" borderId="0" xfId="0" applyNumberFormat="1" applyFont="1" applyAlignment="1">
      <alignment horizontal="right"/>
    </xf>
    <xf numFmtId="2" fontId="0" fillId="0" borderId="2" xfId="0" applyNumberFormat="1" applyBorder="1" applyAlignment="1">
      <alignment/>
    </xf>
    <xf numFmtId="2" fontId="11" fillId="0" borderId="2" xfId="0" applyNumberFormat="1" applyFont="1" applyBorder="1" applyAlignment="1">
      <alignment/>
    </xf>
    <xf numFmtId="2" fontId="0" fillId="0" borderId="0" xfId="0" applyNumberFormat="1" applyFill="1" applyAlignment="1">
      <alignment/>
    </xf>
    <xf numFmtId="169" fontId="0" fillId="0" borderId="0" xfId="0" applyNumberFormat="1" applyAlignment="1">
      <alignment/>
    </xf>
    <xf numFmtId="2" fontId="0" fillId="2" borderId="1" xfId="0" applyNumberFormat="1" applyFill="1" applyBorder="1" applyAlignment="1">
      <alignment horizontal="center"/>
    </xf>
    <xf numFmtId="0" fontId="11" fillId="0" borderId="3" xfId="0" applyFont="1" applyBorder="1" applyAlignment="1">
      <alignment horizontal="right"/>
    </xf>
    <xf numFmtId="0" fontId="0" fillId="0" borderId="3" xfId="0" applyBorder="1" applyAlignment="1">
      <alignment/>
    </xf>
    <xf numFmtId="2" fontId="0" fillId="0" borderId="4" xfId="0" applyNumberFormat="1" applyBorder="1" applyAlignment="1">
      <alignment/>
    </xf>
    <xf numFmtId="164" fontId="11" fillId="0" borderId="0" xfId="21" applyNumberFormat="1" applyFont="1" applyBorder="1" applyAlignment="1">
      <alignment horizontal="left"/>
    </xf>
    <xf numFmtId="164" fontId="10" fillId="0" borderId="0" xfId="21" applyNumberFormat="1"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4</xdr:row>
      <xdr:rowOff>38100</xdr:rowOff>
    </xdr:from>
    <xdr:to>
      <xdr:col>11</xdr:col>
      <xdr:colOff>762000</xdr:colOff>
      <xdr:row>17</xdr:row>
      <xdr:rowOff>200025</xdr:rowOff>
    </xdr:to>
    <xdr:sp>
      <xdr:nvSpPr>
        <xdr:cNvPr id="1" name="TextBox 1"/>
        <xdr:cNvSpPr txBox="1">
          <a:spLocks noChangeArrowheads="1"/>
        </xdr:cNvSpPr>
      </xdr:nvSpPr>
      <xdr:spPr>
        <a:xfrm>
          <a:off x="5762625" y="876300"/>
          <a:ext cx="4905375" cy="2886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Verdana"/>
              <a:ea typeface="Verdana"/>
              <a:cs typeface="Verdana"/>
            </a:rPr>
            <a:t>Notes: 
</a:t>
          </a:r>
          <a:r>
            <a:rPr lang="en-US" cap="none" sz="1000" b="0" i="0" u="none" baseline="0">
              <a:solidFill>
                <a:srgbClr val="DD0806"/>
              </a:solidFill>
              <a:latin typeface="Verdana"/>
              <a:ea typeface="Verdana"/>
              <a:cs typeface="Verdana"/>
            </a:rPr>
            <a:t>
</a:t>
          </a:r>
          <a:r>
            <a:rPr lang="en-US" cap="none" sz="1000" b="0" i="0" u="none" baseline="0">
              <a:solidFill>
                <a:srgbClr val="000000"/>
              </a:solidFill>
              <a:latin typeface="Verdana"/>
              <a:ea typeface="Verdana"/>
              <a:cs typeface="Verdana"/>
            </a:rPr>
            <a:t>1. If previously calculated, use last year's living wage family income to determine the government transfers and subsidies that the family will be eligible for. This is how government transfers are calculated in practice, and this method was used for the Vancouver 2012 Living Wage Update. Use the other tab in this spreadsheet, titled "Using last year's LW income" and enter the last year's family income in Table IIa.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If this is the first time the living wage is being calculated for your municipality, use this spreadsheet tab which determines the government transfers for the family using this year's income. To illustrate the methodology, this spreadsheet includes family expenses for Vancouver and the highlighted cells must be updated to reflect the actual costs in your municipality.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Either way, remember to update the Federal &amp; Provincial income tax formulas for Parent 2 (Table IV) with the actual costs of public transit and tuition fees so that the transit and education tax credits are accurate.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4</xdr:row>
      <xdr:rowOff>57150</xdr:rowOff>
    </xdr:from>
    <xdr:to>
      <xdr:col>11</xdr:col>
      <xdr:colOff>771525</xdr:colOff>
      <xdr:row>18</xdr:row>
      <xdr:rowOff>114300</xdr:rowOff>
    </xdr:to>
    <xdr:sp>
      <xdr:nvSpPr>
        <xdr:cNvPr id="1" name="TextBox 1"/>
        <xdr:cNvSpPr txBox="1">
          <a:spLocks noChangeArrowheads="1"/>
        </xdr:cNvSpPr>
      </xdr:nvSpPr>
      <xdr:spPr>
        <a:xfrm>
          <a:off x="5810250" y="895350"/>
          <a:ext cx="5534025" cy="29908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Verdana"/>
              <a:ea typeface="Verdana"/>
              <a:cs typeface="Verdana"/>
            </a:rPr>
            <a:t>Notes: 
</a:t>
          </a:r>
          <a:r>
            <a:rPr lang="en-US" cap="none" sz="1000" b="0" i="0" u="none" baseline="0">
              <a:solidFill>
                <a:srgbClr val="DD0806"/>
              </a:solidFill>
              <a:latin typeface="Verdana"/>
              <a:ea typeface="Verdana"/>
              <a:cs typeface="Verdana"/>
            </a:rPr>
            <a:t>
</a:t>
          </a:r>
          <a:r>
            <a:rPr lang="en-US" cap="none" sz="1000" b="0" i="0" u="none" baseline="0">
              <a:solidFill>
                <a:srgbClr val="000000"/>
              </a:solidFill>
              <a:latin typeface="Verdana"/>
              <a:ea typeface="Verdana"/>
              <a:cs typeface="Verdana"/>
            </a:rPr>
            <a:t>1. If previously calculated, use last year's living wage family income to determine the government transfers and subsidies that the family will be eligible for. This is how government transfers are calculated in practice, and this method was used for the Vancouver 2012 Living Wage Update. Use this spreadsheet tab for your calculation and enter last year's family income in Table IIa. This spreadsheet includes family expenses for Vancouver and the highlighted cells must be updated to reflect the actual costs in your municipality.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If this is the first time the living wage is being calculated for your municipality, use the other tab in this spreadsheet, titled "First time LW calculation," which determines the government transfers for the family using this year's income.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Either way, remember to update the Federal &amp; Provincial income tax formulas for Parent 2 (Table IV) with the actual costs of public transit and tuition fees so that the transit and education tax credits are accurate.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105"/>
  <sheetViews>
    <sheetView tabSelected="1" workbookViewId="0" topLeftCell="A1">
      <selection activeCell="B18" sqref="B18"/>
    </sheetView>
  </sheetViews>
  <sheetFormatPr defaultColWidth="11.00390625" defaultRowHeight="12.75"/>
  <cols>
    <col min="1" max="1" width="20.00390625" style="0" customWidth="1"/>
  </cols>
  <sheetData>
    <row r="1" spans="1:9" ht="16.5" customHeight="1">
      <c r="A1" s="1" t="s">
        <v>57</v>
      </c>
      <c r="B1" s="1"/>
      <c r="C1" s="2"/>
      <c r="D1" s="2"/>
      <c r="E1" s="2"/>
      <c r="F1" s="2"/>
      <c r="G1" s="2"/>
      <c r="H1" s="2"/>
      <c r="I1" s="2"/>
    </row>
    <row r="2" spans="2:5" s="3" customFormat="1" ht="16.5" customHeight="1">
      <c r="B2" s="3" t="s">
        <v>58</v>
      </c>
      <c r="D2" s="4"/>
      <c r="E2" s="5"/>
    </row>
    <row r="3" spans="1:10" ht="16.5" customHeight="1">
      <c r="A3" s="2" t="s">
        <v>54</v>
      </c>
      <c r="C3" s="3"/>
      <c r="D3" s="4"/>
      <c r="E3" s="5"/>
      <c r="F3" s="3"/>
      <c r="G3" s="3"/>
      <c r="H3" s="3"/>
      <c r="I3" s="3"/>
      <c r="J3" s="3"/>
    </row>
    <row r="4" spans="1:10" ht="16.5" customHeight="1">
      <c r="A4" s="3"/>
      <c r="B4" s="2"/>
      <c r="C4" s="3"/>
      <c r="D4" s="4"/>
      <c r="E4" s="5"/>
      <c r="F4" s="3"/>
      <c r="G4" s="3"/>
      <c r="H4" s="3"/>
      <c r="I4" s="3"/>
      <c r="J4" s="3"/>
    </row>
    <row r="5" ht="16.5" customHeight="1">
      <c r="B5" s="6" t="s">
        <v>59</v>
      </c>
    </row>
    <row r="6" spans="3:19" ht="16.5" customHeight="1">
      <c r="C6" s="6"/>
      <c r="E6" s="7"/>
      <c r="F6" s="7"/>
      <c r="G6" s="7"/>
      <c r="H6" s="7"/>
      <c r="I6" s="7"/>
      <c r="J6" s="8"/>
      <c r="L6" s="9"/>
      <c r="M6" s="10"/>
      <c r="N6" s="10"/>
      <c r="O6" s="10"/>
      <c r="P6" s="10"/>
      <c r="Q6" s="10"/>
      <c r="S6" s="11"/>
    </row>
    <row r="7" spans="1:28" ht="16.5" customHeight="1">
      <c r="A7" s="12" t="s">
        <v>60</v>
      </c>
      <c r="B7" s="13" t="s">
        <v>61</v>
      </c>
      <c r="C7" s="13" t="s">
        <v>62</v>
      </c>
      <c r="D7" s="14" t="s">
        <v>63</v>
      </c>
      <c r="E7" s="14" t="s">
        <v>64</v>
      </c>
      <c r="F7" s="15"/>
      <c r="G7" s="8"/>
      <c r="H7" s="16"/>
      <c r="I7" s="17"/>
      <c r="J7" s="8"/>
      <c r="L7" s="18"/>
      <c r="P7" s="9"/>
      <c r="Q7" s="10"/>
      <c r="R7" s="10"/>
      <c r="S7" s="10"/>
      <c r="T7" s="10"/>
      <c r="U7" s="10"/>
      <c r="W7" s="9"/>
      <c r="X7" s="10"/>
      <c r="Y7" s="10"/>
      <c r="Z7" s="10"/>
      <c r="AA7" s="10"/>
      <c r="AB7" s="10"/>
    </row>
    <row r="8" spans="1:23" ht="16.5" customHeight="1">
      <c r="A8" s="19" t="s">
        <v>55</v>
      </c>
      <c r="B8" s="20"/>
      <c r="C8" s="20"/>
      <c r="D8" s="21" t="s">
        <v>66</v>
      </c>
      <c r="E8" s="14" t="s">
        <v>67</v>
      </c>
      <c r="F8" s="22"/>
      <c r="H8" s="23"/>
      <c r="I8" s="17"/>
      <c r="J8" s="24"/>
      <c r="K8" s="25"/>
      <c r="L8" s="26"/>
      <c r="M8" s="25"/>
      <c r="P8" s="27"/>
      <c r="W8" s="27"/>
    </row>
    <row r="9" spans="1:27" ht="16.5" customHeight="1">
      <c r="A9" s="19" t="s">
        <v>68</v>
      </c>
      <c r="B9" s="92">
        <f>((206+243.59+148.01+143.03)*(944.16*1153753+851.07*1629695)/(1153753+1629695))/868.43</f>
        <v>758.7325642578674</v>
      </c>
      <c r="C9" s="92">
        <f>B9*12</f>
        <v>9104.79077109441</v>
      </c>
      <c r="D9" s="28">
        <f>C9/C20</f>
        <v>0.14347486836098566</v>
      </c>
      <c r="E9" s="28">
        <f>C9/D50</f>
        <v>0.13054885938961677</v>
      </c>
      <c r="F9" s="22"/>
      <c r="G9" s="24"/>
      <c r="H9" s="29"/>
      <c r="I9" s="30"/>
      <c r="J9" s="8"/>
      <c r="K9" s="25"/>
      <c r="L9" s="26"/>
      <c r="M9" s="25"/>
      <c r="P9" s="27"/>
      <c r="T9" s="11"/>
      <c r="W9" s="27"/>
      <c r="AA9" s="11"/>
    </row>
    <row r="10" spans="1:28" ht="16.5" customHeight="1">
      <c r="A10" s="19" t="s">
        <v>69</v>
      </c>
      <c r="B10" s="92">
        <f>C10/12</f>
        <v>183.12273641851104</v>
      </c>
      <c r="C10" s="92">
        <f>2238*97.6/99.4</f>
        <v>2197.4728370221324</v>
      </c>
      <c r="D10" s="28">
        <f>C10/C20</f>
        <v>0.03462815719165557</v>
      </c>
      <c r="E10" s="28">
        <f>C10/D50</f>
        <v>0.03150842008623351</v>
      </c>
      <c r="F10" s="31"/>
      <c r="G10" s="32"/>
      <c r="H10" s="27"/>
      <c r="I10" s="27"/>
      <c r="J10" s="24"/>
      <c r="K10" s="25"/>
      <c r="L10" s="26"/>
      <c r="M10" s="25"/>
      <c r="P10" s="27"/>
      <c r="T10" s="11"/>
      <c r="U10" s="33"/>
      <c r="W10" s="27"/>
      <c r="AA10" s="11"/>
      <c r="AB10" s="33"/>
    </row>
    <row r="11" spans="1:28" ht="16.5" customHeight="1">
      <c r="A11" s="19" t="s">
        <v>70</v>
      </c>
      <c r="B11" s="92">
        <f>1250+102*(130.6/115.1)+40.32+30</f>
        <v>1436.0558818418765</v>
      </c>
      <c r="C11" s="92">
        <f>(B11)*12</f>
        <v>17232.670582102517</v>
      </c>
      <c r="D11" s="28">
        <f>C11/C20</f>
        <v>0.2715554047793013</v>
      </c>
      <c r="E11" s="28">
        <f>C11/D50</f>
        <v>0.24709030062203932</v>
      </c>
      <c r="F11" s="22"/>
      <c r="G11" s="25"/>
      <c r="H11" s="34"/>
      <c r="I11" s="35"/>
      <c r="J11" s="8"/>
      <c r="K11" s="25"/>
      <c r="L11" s="26"/>
      <c r="M11" s="25"/>
      <c r="P11" s="27"/>
      <c r="T11" s="11"/>
      <c r="U11" s="33"/>
      <c r="W11" s="27"/>
      <c r="AA11" s="11"/>
      <c r="AB11" s="33"/>
    </row>
    <row r="12" spans="1:28" ht="16.5" customHeight="1">
      <c r="A12" s="19" t="s">
        <v>71</v>
      </c>
      <c r="B12" s="92">
        <f>C12/12</f>
        <v>467.92661127895275</v>
      </c>
      <c r="C12" s="92">
        <f>4406*(148.3/132.4)+110*4+30*8</f>
        <v>5615.119335347433</v>
      </c>
      <c r="D12" s="28">
        <f>C12/C20</f>
        <v>0.08848402206318472</v>
      </c>
      <c r="E12" s="28">
        <f>C12/D50</f>
        <v>0.08051227567946374</v>
      </c>
      <c r="F12" s="36"/>
      <c r="H12" s="37"/>
      <c r="I12" s="35"/>
      <c r="J12" s="38"/>
      <c r="K12" s="25"/>
      <c r="L12" s="26"/>
      <c r="M12" s="25"/>
      <c r="P12" s="27"/>
      <c r="T12" s="11"/>
      <c r="U12" s="33"/>
      <c r="W12" s="27"/>
      <c r="AA12" s="11"/>
      <c r="AB12" s="33"/>
    </row>
    <row r="13" spans="1:28" ht="16.5" customHeight="1">
      <c r="A13" s="19" t="s">
        <v>72</v>
      </c>
      <c r="B13" s="39">
        <f>C13/12</f>
        <v>698.8566331018728</v>
      </c>
      <c r="C13" s="20">
        <f>(C9+C10)*0.742</f>
        <v>8386.279597222474</v>
      </c>
      <c r="D13" s="28">
        <f>C13/C20</f>
        <v>0.1321524449600598</v>
      </c>
      <c r="E13" s="28">
        <f>C13/D50</f>
        <v>0.12024650137108091</v>
      </c>
      <c r="F13" s="22"/>
      <c r="G13" s="25"/>
      <c r="H13" s="40"/>
      <c r="I13" s="30"/>
      <c r="J13" s="24"/>
      <c r="K13" s="25"/>
      <c r="L13" s="26"/>
      <c r="M13" s="25"/>
      <c r="P13" s="27"/>
      <c r="R13" s="10"/>
      <c r="T13" s="11"/>
      <c r="U13" s="33"/>
      <c r="W13" s="27"/>
      <c r="Y13" s="10"/>
      <c r="AA13" s="11"/>
      <c r="AB13" s="33"/>
    </row>
    <row r="14" spans="1:28" s="43" customFormat="1" ht="16.5" customHeight="1">
      <c r="A14" s="21" t="s">
        <v>73</v>
      </c>
      <c r="B14" s="41"/>
      <c r="C14" s="41">
        <f>SUM(C9:C13)</f>
        <v>42536.33312278896</v>
      </c>
      <c r="D14" s="42">
        <f>C14/C20</f>
        <v>0.6702948973551869</v>
      </c>
      <c r="E14" s="42">
        <f>C14/D50</f>
        <v>0.6099063571484341</v>
      </c>
      <c r="F14" s="15"/>
      <c r="G14" s="40"/>
      <c r="H14" s="37"/>
      <c r="I14" s="35"/>
      <c r="J14" s="40"/>
      <c r="K14" s="30"/>
      <c r="L14" s="26"/>
      <c r="M14" s="25"/>
      <c r="N14"/>
      <c r="O14"/>
      <c r="P14" s="27"/>
      <c r="Q14"/>
      <c r="R14"/>
      <c r="S14"/>
      <c r="T14" s="11"/>
      <c r="U14" s="33"/>
      <c r="W14" s="27"/>
      <c r="X14"/>
      <c r="Y14"/>
      <c r="Z14"/>
      <c r="AA14" s="11"/>
      <c r="AB14" s="33"/>
    </row>
    <row r="15" spans="1:28" ht="16.5" customHeight="1">
      <c r="A15" s="19" t="s">
        <v>74</v>
      </c>
      <c r="B15" s="92">
        <f>C15/12</f>
        <v>1168.3333333333333</v>
      </c>
      <c r="C15" s="92">
        <f>810*12+340*10+550*1+175*2</f>
        <v>14020</v>
      </c>
      <c r="D15" s="28">
        <f>C15/C20</f>
        <v>0.22092958586232636</v>
      </c>
      <c r="E15" s="28">
        <f>C15/D50</f>
        <v>0.2010254880818555</v>
      </c>
      <c r="F15" s="22"/>
      <c r="G15" s="24"/>
      <c r="H15" s="43"/>
      <c r="I15" s="30"/>
      <c r="J15" s="24"/>
      <c r="K15" s="25"/>
      <c r="L15" s="27"/>
      <c r="M15" s="44"/>
      <c r="N15" s="44"/>
      <c r="P15" s="27"/>
      <c r="R15" s="10"/>
      <c r="T15" s="11"/>
      <c r="U15" s="33"/>
      <c r="W15" s="27"/>
      <c r="Y15" s="10"/>
      <c r="AA15" s="11"/>
      <c r="AB15" s="33"/>
    </row>
    <row r="16" spans="1:28" ht="16.5" customHeight="1">
      <c r="A16" s="19" t="s">
        <v>75</v>
      </c>
      <c r="B16" s="92">
        <v>133</v>
      </c>
      <c r="C16" s="92">
        <f>B16*12</f>
        <v>1596</v>
      </c>
      <c r="D16" s="28">
        <f>C16/C20</f>
        <v>0.02515004415379978</v>
      </c>
      <c r="E16" s="28">
        <f>C16/D50</f>
        <v>0.022884213907178413</v>
      </c>
      <c r="F16" s="17"/>
      <c r="G16" s="7"/>
      <c r="H16" s="24"/>
      <c r="I16" s="24"/>
      <c r="J16" s="24"/>
      <c r="K16" s="25"/>
      <c r="L16" s="27"/>
      <c r="P16" s="27"/>
      <c r="Q16" s="44"/>
      <c r="T16" s="11"/>
      <c r="U16" s="33"/>
      <c r="W16" s="27"/>
      <c r="X16" s="44"/>
      <c r="AA16" s="11"/>
      <c r="AB16" s="33"/>
    </row>
    <row r="17" spans="1:28" ht="16.5" customHeight="1">
      <c r="A17" s="19" t="s">
        <v>76</v>
      </c>
      <c r="B17" s="20">
        <f>IF((D52-3*3000+(B51-C27)/2-1200)&gt;30000,128,IF((D52-3*3000+(B51-C27)/2-1200)&gt;28000,92.8,IF((D52-3*3000+(B51-C27)/2-1200)&gt;26000,69.6,IF((D52-3*3000+(B51-C27)/2-1200)&gt;24000,46.4,IF((D52-3*3000+(B51-C27)/2-1200)&gt;22000,23.2,IF((D52-3*3000+(B51-C27)/2-1200)&gt;1,0))))))</f>
        <v>128</v>
      </c>
      <c r="C17" s="20">
        <f>B17*12</f>
        <v>1536</v>
      </c>
      <c r="D17" s="28">
        <f>C17/C20</f>
        <v>0.02420455377207798</v>
      </c>
      <c r="E17" s="28">
        <f>C17/D50</f>
        <v>0.022023905113675465</v>
      </c>
      <c r="F17" s="22"/>
      <c r="G17" s="45"/>
      <c r="I17" s="24"/>
      <c r="J17" s="24"/>
      <c r="K17" s="25"/>
      <c r="L17" s="18"/>
      <c r="P17" s="27"/>
      <c r="R17" s="2"/>
      <c r="T17" s="11"/>
      <c r="U17" s="33"/>
      <c r="W17" s="27"/>
      <c r="Y17" s="2"/>
      <c r="AA17" s="11"/>
      <c r="AB17" s="33"/>
    </row>
    <row r="18" spans="1:28" ht="16.5" customHeight="1">
      <c r="A18" s="19" t="s">
        <v>77</v>
      </c>
      <c r="B18" s="20">
        <f>C18/12</f>
        <v>223.53333333333333</v>
      </c>
      <c r="C18" s="20">
        <f>B47*B48*2+C47*C48*2</f>
        <v>2682.4</v>
      </c>
      <c r="D18" s="28">
        <f>C18/C20</f>
        <v>0.04226972333217577</v>
      </c>
      <c r="E18" s="28">
        <f>C18/D50</f>
        <v>0.03846153846153846</v>
      </c>
      <c r="F18" s="22"/>
      <c r="G18" s="24"/>
      <c r="H18" s="24"/>
      <c r="I18" s="24" t="s">
        <v>53</v>
      </c>
      <c r="J18" s="24"/>
      <c r="K18" s="25"/>
      <c r="L18" s="46"/>
      <c r="M18" s="2"/>
      <c r="N18" s="2"/>
      <c r="P18" s="27"/>
      <c r="T18" s="11"/>
      <c r="U18" s="33"/>
      <c r="W18" s="27"/>
      <c r="AA18" s="11"/>
      <c r="AB18" s="33"/>
    </row>
    <row r="19" spans="1:28" ht="16.5" customHeight="1">
      <c r="A19" s="19" t="s">
        <v>78</v>
      </c>
      <c r="B19" s="92">
        <f>C19/12</f>
        <v>90.7</v>
      </c>
      <c r="C19" s="92">
        <f>(90.4+108.2)*3+150*2+(31+43.4+21.9)*2</f>
        <v>1088.4</v>
      </c>
      <c r="D19" s="28">
        <f>C19/C20</f>
        <v>0.017151195524433383</v>
      </c>
      <c r="E19" s="28">
        <f>C19/D50</f>
        <v>0.015606001514143476</v>
      </c>
      <c r="F19" s="22"/>
      <c r="G19" s="47"/>
      <c r="H19" s="48"/>
      <c r="I19" s="48"/>
      <c r="J19" s="48"/>
      <c r="K19" s="49"/>
      <c r="L19" s="27"/>
      <c r="N19" s="2"/>
      <c r="P19" s="27"/>
      <c r="Q19" s="2"/>
      <c r="R19" s="2"/>
      <c r="T19" s="11"/>
      <c r="U19" s="33"/>
      <c r="W19" s="27"/>
      <c r="X19" s="2"/>
      <c r="Y19" s="2"/>
      <c r="AA19" s="11"/>
      <c r="AB19" s="33"/>
    </row>
    <row r="20" spans="1:28" ht="16.5" customHeight="1">
      <c r="A20" s="19" t="s">
        <v>79</v>
      </c>
      <c r="B20" s="20">
        <f>SUM(B8:B19)</f>
        <v>5288.261093565748</v>
      </c>
      <c r="C20" s="20">
        <f>SUM(C9:C19)-C14</f>
        <v>63459.133122788946</v>
      </c>
      <c r="D20" s="28">
        <f>C20/C20</f>
        <v>1</v>
      </c>
      <c r="E20" s="28">
        <f>SUM(E9:E19)-E14</f>
        <v>0.9099075042268255</v>
      </c>
      <c r="F20" s="17"/>
      <c r="G20" s="37"/>
      <c r="H20" s="37"/>
      <c r="I20" s="35"/>
      <c r="J20" s="37"/>
      <c r="K20" s="50"/>
      <c r="L20" s="27"/>
      <c r="N20" s="2"/>
      <c r="P20" s="27"/>
      <c r="Q20" s="2"/>
      <c r="T20" s="11"/>
      <c r="U20" s="33"/>
      <c r="W20" s="27"/>
      <c r="X20" s="2"/>
      <c r="AA20" s="11"/>
      <c r="AB20" s="33"/>
    </row>
    <row r="21" spans="1:28" ht="16.5" customHeight="1">
      <c r="A21" s="7"/>
      <c r="B21" s="24"/>
      <c r="C21" s="24"/>
      <c r="D21" s="24"/>
      <c r="E21" s="24"/>
      <c r="F21" s="24"/>
      <c r="G21" s="24"/>
      <c r="H21" s="38"/>
      <c r="I21" s="24"/>
      <c r="J21" s="35"/>
      <c r="K21" s="25"/>
      <c r="L21" s="27"/>
      <c r="N21" s="2"/>
      <c r="P21" s="27"/>
      <c r="Q21" s="2"/>
      <c r="T21" s="11"/>
      <c r="U21" s="33"/>
      <c r="W21" s="27"/>
      <c r="X21" s="2"/>
      <c r="AA21" s="11"/>
      <c r="AB21" s="33"/>
    </row>
    <row r="22" spans="2:28" ht="16.5" customHeight="1">
      <c r="B22" s="25"/>
      <c r="C22" s="25"/>
      <c r="L22" s="27"/>
      <c r="N22" s="2"/>
      <c r="P22" s="27"/>
      <c r="Q22" s="2"/>
      <c r="T22" s="11"/>
      <c r="U22" s="33"/>
      <c r="W22" s="27"/>
      <c r="X22" s="2"/>
      <c r="AA22" s="11"/>
      <c r="AB22" s="33"/>
    </row>
    <row r="23" spans="2:28" ht="16.5" customHeight="1">
      <c r="B23" s="6" t="s">
        <v>80</v>
      </c>
      <c r="L23" s="27"/>
      <c r="N23" s="2"/>
      <c r="P23" s="27"/>
      <c r="Q23" s="2"/>
      <c r="T23" s="11"/>
      <c r="U23" s="33"/>
      <c r="W23" s="27"/>
      <c r="X23" s="2"/>
      <c r="AA23" s="11"/>
      <c r="AB23" s="33"/>
    </row>
    <row r="24" spans="3:28" ht="16.5" customHeight="1">
      <c r="C24" s="6"/>
      <c r="J24" s="51"/>
      <c r="L24" s="27"/>
      <c r="N24" s="2"/>
      <c r="P24" s="52"/>
      <c r="Q24" s="2"/>
      <c r="R24" s="2"/>
      <c r="S24" s="10"/>
      <c r="T24" s="53"/>
      <c r="U24" s="54"/>
      <c r="W24" s="52"/>
      <c r="X24" s="2"/>
      <c r="Y24" s="2"/>
      <c r="Z24" s="10"/>
      <c r="AA24" s="53"/>
      <c r="AB24" s="54"/>
    </row>
    <row r="25" spans="1:28" ht="16.5" customHeight="1">
      <c r="A25" s="55" t="s">
        <v>67</v>
      </c>
      <c r="B25" s="13" t="s">
        <v>61</v>
      </c>
      <c r="C25" s="13" t="s">
        <v>62</v>
      </c>
      <c r="D25" s="9"/>
      <c r="E25" s="56" t="s">
        <v>81</v>
      </c>
      <c r="F25" s="56" t="s">
        <v>82</v>
      </c>
      <c r="G25" s="56" t="s">
        <v>83</v>
      </c>
      <c r="H25" s="57" t="s">
        <v>84</v>
      </c>
      <c r="I25" s="9"/>
      <c r="L25" s="27"/>
      <c r="N25" s="2"/>
      <c r="P25" s="52"/>
      <c r="Q25" s="2"/>
      <c r="R25" s="2"/>
      <c r="S25" s="10"/>
      <c r="T25" s="53"/>
      <c r="U25" s="54"/>
      <c r="W25" s="52"/>
      <c r="X25" s="2"/>
      <c r="Y25" s="2"/>
      <c r="Z25" s="10"/>
      <c r="AA25" s="53"/>
      <c r="AB25" s="54"/>
    </row>
    <row r="26" spans="1:28" ht="16.5" customHeight="1">
      <c r="A26" s="19" t="s">
        <v>85</v>
      </c>
      <c r="B26" s="20">
        <f>C26/12</f>
        <v>170.5053333333333</v>
      </c>
      <c r="C26" s="20">
        <f>IF(D52&lt;42744,1367*2,(1367*2-(D52-C27-41544)*0.04))</f>
        <v>2046.0639999999996</v>
      </c>
      <c r="D26" s="58"/>
      <c r="E26" s="35">
        <f>1367*2-((D52-C27-41544)*0.04)+MAX(0,((2118+1873)-(D52-C27-24183)*0.23))</f>
        <v>2046.0639999999996</v>
      </c>
      <c r="F26" s="35">
        <f>C27+41544</f>
        <v>42744</v>
      </c>
      <c r="G26" s="35">
        <f>(1367*2)/0.04+C27+41544</f>
        <v>111094</v>
      </c>
      <c r="H26" s="35">
        <f>(2118+1873)/0.23+C27+24183</f>
        <v>42735.17391304347</v>
      </c>
      <c r="K26" s="59"/>
      <c r="L26" s="27"/>
      <c r="N26" s="2"/>
      <c r="P26" s="27"/>
      <c r="Q26" s="2"/>
      <c r="T26" s="11"/>
      <c r="U26" s="33"/>
      <c r="W26" s="27"/>
      <c r="X26" s="2"/>
      <c r="AA26" s="11"/>
      <c r="AB26" s="33"/>
    </row>
    <row r="27" spans="1:28" ht="16.5" customHeight="1">
      <c r="A27" s="19" t="s">
        <v>86</v>
      </c>
      <c r="B27" s="20">
        <f>100</f>
        <v>100</v>
      </c>
      <c r="C27" s="20">
        <f>B27*12</f>
        <v>1200</v>
      </c>
      <c r="D27" s="60"/>
      <c r="J27" s="61"/>
      <c r="K27" s="34"/>
      <c r="L27" s="27"/>
      <c r="N27" s="2"/>
      <c r="P27" s="27"/>
      <c r="Q27" s="2"/>
      <c r="T27" s="11"/>
      <c r="U27" s="33"/>
      <c r="W27" s="27"/>
      <c r="X27" s="2"/>
      <c r="AA27" s="11"/>
      <c r="AB27" s="33"/>
    </row>
    <row r="28" spans="1:28" ht="16.5" customHeight="1">
      <c r="A28" s="19" t="s">
        <v>87</v>
      </c>
      <c r="B28" s="20">
        <f>C28/12</f>
        <v>0</v>
      </c>
      <c r="C28" s="20">
        <v>0</v>
      </c>
      <c r="D28" s="58"/>
      <c r="G28" s="35"/>
      <c r="H28" s="25"/>
      <c r="I28" s="25"/>
      <c r="L28" s="27"/>
      <c r="N28" s="2"/>
      <c r="P28" s="27"/>
      <c r="Q28" s="2"/>
      <c r="T28" s="11"/>
      <c r="U28" s="33"/>
      <c r="W28" s="27"/>
      <c r="X28" s="2"/>
      <c r="AA28" s="11"/>
      <c r="AB28" s="33"/>
    </row>
    <row r="29" spans="1:28" ht="16.5" customHeight="1">
      <c r="A29" s="19" t="s">
        <v>88</v>
      </c>
      <c r="B29" s="20">
        <f>(C29)/12</f>
        <v>0</v>
      </c>
      <c r="C29" s="20">
        <f>IF(D52&lt;34161,2*(253+133),MAX(0,E29))</f>
        <v>0</v>
      </c>
      <c r="D29" s="58"/>
      <c r="E29" s="35">
        <f>(253+253+133+133)-(D52-C27-32961)*0.05</f>
        <v>-517.0700000000006</v>
      </c>
      <c r="F29" s="35">
        <f>C27+32961</f>
        <v>34161</v>
      </c>
      <c r="G29" s="35">
        <f>(253+253+133+133)/0.05+C27+32961</f>
        <v>49601</v>
      </c>
      <c r="H29" s="25"/>
      <c r="I29" s="25"/>
      <c r="K29" s="34"/>
      <c r="L29" s="27"/>
      <c r="N29" s="2"/>
      <c r="P29" s="27"/>
      <c r="Q29" s="2"/>
      <c r="T29" s="11"/>
      <c r="U29" s="33"/>
      <c r="W29" s="27"/>
      <c r="X29" s="2"/>
      <c r="AA29" s="11"/>
      <c r="AB29" s="33"/>
    </row>
    <row r="30" spans="1:28" ht="16.5" customHeight="1">
      <c r="A30" s="19" t="s">
        <v>89</v>
      </c>
      <c r="B30" s="92">
        <v>0</v>
      </c>
      <c r="C30" s="92">
        <f>12*B30</f>
        <v>0</v>
      </c>
      <c r="D30" s="110" t="s">
        <v>1</v>
      </c>
      <c r="F30" s="34"/>
      <c r="G30" s="35"/>
      <c r="H30" s="25"/>
      <c r="I30" s="25"/>
      <c r="K30" s="34"/>
      <c r="L30" s="27"/>
      <c r="N30" s="2"/>
      <c r="P30" s="27"/>
      <c r="Q30" s="2"/>
      <c r="T30" s="11"/>
      <c r="U30" s="33"/>
      <c r="W30" s="27"/>
      <c r="X30" s="2"/>
      <c r="AA30" s="11"/>
      <c r="AB30" s="33"/>
    </row>
    <row r="31" spans="1:28" ht="16.5" customHeight="1">
      <c r="A31" s="62" t="s">
        <v>90</v>
      </c>
      <c r="B31" s="20">
        <v>0</v>
      </c>
      <c r="C31" s="20">
        <f>IF(D52&lt;37330,2*(115.5+34.5),MAX(0,E31))</f>
        <v>0</v>
      </c>
      <c r="E31" s="37">
        <f>115.5+115.5+34.5+34.5-(D52-C27-36130)*0.02</f>
        <v>-152.24800000000016</v>
      </c>
      <c r="F31" s="35">
        <f>C27+36130</f>
        <v>37330</v>
      </c>
      <c r="G31" s="35">
        <f>(115.5+115.5+34.5+34.5)/0.02+36130+C27</f>
        <v>52330</v>
      </c>
      <c r="H31" s="25"/>
      <c r="I31" s="25"/>
      <c r="K31" s="34"/>
      <c r="L31" s="27"/>
      <c r="N31" s="2"/>
      <c r="P31" s="27"/>
      <c r="Q31" s="2"/>
      <c r="T31" s="11"/>
      <c r="U31" s="33"/>
      <c r="W31" s="27"/>
      <c r="X31" s="2"/>
      <c r="AA31" s="11"/>
      <c r="AB31" s="33"/>
    </row>
    <row r="32" spans="1:27" ht="16.5" customHeight="1">
      <c r="A32" s="19" t="s">
        <v>91</v>
      </c>
      <c r="B32" s="92">
        <v>0</v>
      </c>
      <c r="C32" s="92">
        <f>B32*12</f>
        <v>0</v>
      </c>
      <c r="D32" s="35"/>
      <c r="E32" s="35"/>
      <c r="F32" s="35"/>
      <c r="H32" s="25"/>
      <c r="J32" s="25"/>
      <c r="K32" s="34"/>
      <c r="L32" s="27"/>
      <c r="P32" s="27"/>
      <c r="T32" s="11"/>
      <c r="W32" s="27"/>
      <c r="AA32" s="11"/>
    </row>
    <row r="33" spans="1:28" ht="16.5" customHeight="1">
      <c r="A33" s="19" t="s">
        <v>92</v>
      </c>
      <c r="B33" s="20">
        <f>(C33)/12</f>
        <v>0</v>
      </c>
      <c r="C33" s="20">
        <f>IF(D52&lt;26200,4*230,MAX(0,E33))</f>
        <v>0</v>
      </c>
      <c r="D33" s="58"/>
      <c r="E33" s="35">
        <f>(230*4)-(D52-C27-25000)*0.04</f>
        <v>-429.69600000000037</v>
      </c>
      <c r="F33" s="35">
        <f>C27+25000</f>
        <v>26200</v>
      </c>
      <c r="G33" s="35">
        <f>(4*230)/0.04+C27+25000</f>
        <v>49200</v>
      </c>
      <c r="H33" s="25"/>
      <c r="I33" s="25"/>
      <c r="K33" s="34"/>
      <c r="L33" s="27"/>
      <c r="N33" s="2"/>
      <c r="P33" s="27"/>
      <c r="Q33" s="2"/>
      <c r="T33" s="11"/>
      <c r="U33" s="33"/>
      <c r="W33" s="27"/>
      <c r="X33" s="2"/>
      <c r="AA33" s="11"/>
      <c r="AB33" s="33"/>
    </row>
    <row r="34" spans="1:25" ht="16.5" customHeight="1">
      <c r="A34" s="19" t="s">
        <v>79</v>
      </c>
      <c r="B34" s="20">
        <f>SUM(B26:B32)</f>
        <v>270.5053333333333</v>
      </c>
      <c r="C34" s="20">
        <f>SUM(C26:C33)</f>
        <v>3246.0639999999994</v>
      </c>
      <c r="D34" s="110" t="s">
        <v>2</v>
      </c>
      <c r="H34" s="25"/>
      <c r="I34" s="25"/>
      <c r="L34" s="27"/>
      <c r="P34" s="27"/>
      <c r="Q34" s="10"/>
      <c r="R34" s="10"/>
      <c r="W34" s="27"/>
      <c r="X34" s="10"/>
      <c r="Y34" s="10"/>
    </row>
    <row r="35" spans="1:15" ht="16.5" customHeight="1">
      <c r="A35" s="7"/>
      <c r="B35" s="24"/>
      <c r="C35" s="24"/>
      <c r="H35" s="25"/>
      <c r="I35" s="25"/>
      <c r="L35" s="9"/>
      <c r="M35" s="10"/>
      <c r="N35" s="10"/>
      <c r="O35" s="10"/>
    </row>
    <row r="36" ht="16.5" customHeight="1">
      <c r="B36" s="6" t="s">
        <v>93</v>
      </c>
    </row>
    <row r="37" spans="1:27" ht="16.5" customHeight="1">
      <c r="A37" s="3"/>
      <c r="P37" s="9"/>
      <c r="Q37" s="10"/>
      <c r="R37" s="10"/>
      <c r="S37" s="10"/>
      <c r="T37" s="63"/>
      <c r="W37" s="9"/>
      <c r="X37" s="10"/>
      <c r="Y37" s="10"/>
      <c r="Z37" s="10"/>
      <c r="AA37" s="63"/>
    </row>
    <row r="38" spans="1:12" ht="16.5" customHeight="1">
      <c r="A38" s="64"/>
      <c r="B38" s="13"/>
      <c r="C38" s="13" t="s">
        <v>62</v>
      </c>
      <c r="D38" s="9"/>
      <c r="E38" s="55" t="s">
        <v>94</v>
      </c>
      <c r="F38" s="13"/>
      <c r="G38" s="13"/>
      <c r="H38" s="19"/>
      <c r="I38" s="9"/>
      <c r="L38" s="51"/>
    </row>
    <row r="39" spans="1:9" ht="16.5" customHeight="1">
      <c r="A39" s="19" t="s">
        <v>95</v>
      </c>
      <c r="B39" s="20"/>
      <c r="C39" s="20">
        <f>C34+D58</f>
        <v>63462.48384051201</v>
      </c>
      <c r="E39" s="14" t="s">
        <v>96</v>
      </c>
      <c r="F39" s="14" t="s">
        <v>97</v>
      </c>
      <c r="G39" s="14" t="s">
        <v>98</v>
      </c>
      <c r="H39" s="65" t="s">
        <v>99</v>
      </c>
      <c r="I39" s="65" t="s">
        <v>100</v>
      </c>
    </row>
    <row r="40" spans="1:11" ht="16.5" customHeight="1">
      <c r="A40" s="19" t="s">
        <v>101</v>
      </c>
      <c r="B40" s="20"/>
      <c r="C40" s="20">
        <f>C20</f>
        <v>63459.133122788946</v>
      </c>
      <c r="E40" s="14">
        <v>4</v>
      </c>
      <c r="F40" s="14">
        <v>550</v>
      </c>
      <c r="G40" s="66">
        <f>1418+1500</f>
        <v>2918</v>
      </c>
      <c r="H40" s="67">
        <f>F40-F40/(F40+F41)*0.5*(D59-G40)</f>
        <v>-209.88108071719319</v>
      </c>
      <c r="I40" s="67">
        <f>C27-(B15-H40)*12</f>
        <v>-15338.57296860632</v>
      </c>
      <c r="K40" s="25"/>
    </row>
    <row r="41" spans="1:9" ht="16.5" customHeight="1">
      <c r="A41" s="19" t="s">
        <v>102</v>
      </c>
      <c r="B41" s="20"/>
      <c r="C41" s="20">
        <f>C39-C40</f>
        <v>3.350717723064008</v>
      </c>
      <c r="E41" s="14">
        <v>7</v>
      </c>
      <c r="F41" s="14">
        <v>210</v>
      </c>
      <c r="G41" s="66">
        <f>1418+515</f>
        <v>1933</v>
      </c>
      <c r="H41" s="67">
        <f>F41-F41/(F40+F41)*0.5*(D59-G41)</f>
        <v>-216.22193895326325</v>
      </c>
      <c r="I41" s="67">
        <f>C27-(B15-H41)*12</f>
        <v>-15414.663267439159</v>
      </c>
    </row>
    <row r="42" spans="1:9" ht="16.5" customHeight="1">
      <c r="A42" s="7"/>
      <c r="B42" s="24"/>
      <c r="C42" s="24"/>
      <c r="G42" s="68"/>
      <c r="H42" s="69" t="s">
        <v>103</v>
      </c>
      <c r="I42" s="67">
        <f>C27-(B15-H40-H41)*12</f>
        <v>-17933.23623604548</v>
      </c>
    </row>
    <row r="43" spans="2:9" ht="16.5" customHeight="1">
      <c r="B43" s="25"/>
      <c r="C43" s="25"/>
      <c r="E43" s="25"/>
      <c r="H43" s="25"/>
      <c r="I43" s="25"/>
    </row>
    <row r="44" ht="16.5" customHeight="1">
      <c r="A44" s="70" t="s">
        <v>19</v>
      </c>
    </row>
    <row r="45" ht="16.5" customHeight="1">
      <c r="B45" s="9"/>
    </row>
    <row r="46" spans="1:9" s="27" customFormat="1" ht="16.5" customHeight="1">
      <c r="A46" s="13"/>
      <c r="B46" s="13" t="s">
        <v>20</v>
      </c>
      <c r="C46" s="13" t="s">
        <v>21</v>
      </c>
      <c r="D46" s="13" t="s">
        <v>79</v>
      </c>
      <c r="F46" s="9"/>
      <c r="G46" s="71"/>
      <c r="H46" s="71"/>
      <c r="I46" s="71"/>
    </row>
    <row r="47" spans="1:9" s="2" customFormat="1" ht="16.5" customHeight="1">
      <c r="A47" s="62" t="s">
        <v>22</v>
      </c>
      <c r="B47" s="62">
        <v>35</v>
      </c>
      <c r="C47" s="72">
        <v>35</v>
      </c>
      <c r="D47" s="62">
        <f>B47+C47</f>
        <v>70</v>
      </c>
      <c r="F47" s="21" t="s">
        <v>23</v>
      </c>
      <c r="G47" s="73"/>
      <c r="H47" s="73"/>
      <c r="I47" s="74"/>
    </row>
    <row r="48" spans="1:10" s="2" customFormat="1" ht="16.5" customHeight="1">
      <c r="A48" s="62" t="s">
        <v>24</v>
      </c>
      <c r="B48" s="75">
        <v>19.16</v>
      </c>
      <c r="C48" s="76">
        <f>B48</f>
        <v>19.16</v>
      </c>
      <c r="D48" s="62"/>
      <c r="F48" s="77" t="s">
        <v>20</v>
      </c>
      <c r="G48" s="77"/>
      <c r="H48" s="78" t="s">
        <v>21</v>
      </c>
      <c r="J48" s="74"/>
    </row>
    <row r="49" spans="1:10" ht="16.5" customHeight="1">
      <c r="A49" s="12"/>
      <c r="B49" s="12"/>
      <c r="C49" s="13"/>
      <c r="D49" s="12"/>
      <c r="F49" s="21"/>
      <c r="G49" s="78" t="s">
        <v>25</v>
      </c>
      <c r="H49" s="41"/>
      <c r="I49" s="78" t="s">
        <v>25</v>
      </c>
      <c r="J49" s="63"/>
    </row>
    <row r="50" spans="1:11" ht="16.5" customHeight="1">
      <c r="A50" s="19" t="s">
        <v>26</v>
      </c>
      <c r="B50" s="20">
        <f>B48*B47*52</f>
        <v>34871.200000000004</v>
      </c>
      <c r="C50" s="20">
        <f>C48*C47*52</f>
        <v>34871.200000000004</v>
      </c>
      <c r="D50" s="20">
        <f aca="true" t="shared" si="0" ref="D50:D57">B50+C50</f>
        <v>69742.40000000001</v>
      </c>
      <c r="F50" s="79" t="s">
        <v>86</v>
      </c>
      <c r="G50" s="80">
        <v>1200</v>
      </c>
      <c r="H50" s="73" t="s">
        <v>27</v>
      </c>
      <c r="I50" s="81">
        <f>2*2131</f>
        <v>4262</v>
      </c>
      <c r="J50" s="25"/>
      <c r="K50" s="82"/>
    </row>
    <row r="51" spans="1:10" ht="16.5" customHeight="1">
      <c r="A51" s="19" t="s">
        <v>28</v>
      </c>
      <c r="B51" s="20">
        <f>C27-MIN(11000,C15-C32)</f>
        <v>-9800</v>
      </c>
      <c r="C51" s="20"/>
      <c r="D51" s="20"/>
      <c r="F51" s="79" t="s">
        <v>29</v>
      </c>
      <c r="G51" s="81">
        <f>MIN(C15,11000)</f>
        <v>11000</v>
      </c>
      <c r="H51" s="34" t="s">
        <v>30</v>
      </c>
      <c r="I51" s="81">
        <f>110*4+30*8</f>
        <v>680</v>
      </c>
      <c r="J51" s="25"/>
    </row>
    <row r="52" spans="1:11" ht="16.5" customHeight="1">
      <c r="A52" s="19" t="s">
        <v>31</v>
      </c>
      <c r="B52" s="20">
        <f>B50+B51</f>
        <v>25071.200000000004</v>
      </c>
      <c r="C52" s="20">
        <f>C50+C51</f>
        <v>34871.200000000004</v>
      </c>
      <c r="D52" s="20">
        <f>B52+C52</f>
        <v>59942.40000000001</v>
      </c>
      <c r="F52" s="79" t="s">
        <v>32</v>
      </c>
      <c r="G52" s="83">
        <f>(C16-B52*0.03)</f>
        <v>843.8639999999999</v>
      </c>
      <c r="H52" s="79" t="s">
        <v>33</v>
      </c>
      <c r="I52" s="83">
        <f>(90.4+108.2)*3</f>
        <v>595.8000000000001</v>
      </c>
      <c r="J52" s="25"/>
      <c r="K52" s="84"/>
    </row>
    <row r="53" spans="1:12" ht="16.5" customHeight="1">
      <c r="A53" s="19" t="s">
        <v>34</v>
      </c>
      <c r="B53" s="20">
        <f>B50*0.0178</f>
        <v>620.7073600000001</v>
      </c>
      <c r="C53" s="20">
        <f>C50*0.0178</f>
        <v>620.7073600000001</v>
      </c>
      <c r="D53" s="20">
        <f>B53+C53</f>
        <v>1241.4147200000002</v>
      </c>
      <c r="E53" s="58"/>
      <c r="F53" s="79" t="s">
        <v>35</v>
      </c>
      <c r="G53" s="81">
        <f>IF(D52-C27&lt;45888,IF((0.25*(C16-B52*0.03)-0.05*(D52-C27-24108))&gt;0,(0.25*(C16-B52*0.03)-0.05*(D52-C27-24108)),0),0)</f>
        <v>0</v>
      </c>
      <c r="H53" s="79" t="s">
        <v>36</v>
      </c>
      <c r="I53" s="81">
        <f>IF(D52-1200&lt;26764,(MIN(0.21*(D50-4750),1862)-0.17*(D52-1200-15811)),0)</f>
        <v>0</v>
      </c>
      <c r="J53" s="25"/>
      <c r="L53" s="25"/>
    </row>
    <row r="54" spans="1:10" ht="16.5" customHeight="1">
      <c r="A54" s="19" t="s">
        <v>37</v>
      </c>
      <c r="B54" s="20">
        <f>(B50-3500)*0.0495</f>
        <v>1552.8744000000004</v>
      </c>
      <c r="C54" s="20">
        <f>(C50-3500)*0.0495</f>
        <v>1552.8744000000004</v>
      </c>
      <c r="D54" s="20">
        <f t="shared" si="0"/>
        <v>3105.7488000000008</v>
      </c>
      <c r="E54" s="58"/>
      <c r="F54" s="85"/>
      <c r="G54" s="86"/>
      <c r="H54" s="24"/>
      <c r="I54" s="87"/>
      <c r="J54" s="25"/>
    </row>
    <row r="55" spans="1:4" ht="16.5" customHeight="1">
      <c r="A55" s="19" t="s">
        <v>38</v>
      </c>
      <c r="B55" s="20">
        <f>MAX(0,(B52*0.15-(10527+B53+B54+1065+(C16-B52*0.03))*0.15))</f>
        <v>1569.2631360000005</v>
      </c>
      <c r="C55" s="92">
        <f>MAX(0,(C52*0.15-(10527+C53+C54+1065+2131+2131+110*4+120*2+((90.4+108.2)*3+120*8+20*8))*0.15))</f>
        <v>2167.1727360000004</v>
      </c>
      <c r="D55" s="20">
        <f t="shared" si="0"/>
        <v>3736.435872000001</v>
      </c>
    </row>
    <row r="56" spans="1:6" ht="16.5" customHeight="1">
      <c r="A56" s="19" t="s">
        <v>39</v>
      </c>
      <c r="B56" s="20">
        <f>IF(D52-C27&lt;45888,IF((0.25*(C16-B52*0.03)-0.05*(D52-C27-24108))&gt;0,-1*(0.25*(C16-B52*0.03)-0.05*(D52-C27-24108)),0),0)</f>
        <v>0</v>
      </c>
      <c r="C56" s="20">
        <f>IF(D52-C27&lt;26764,-1*(MIN(0.21*(D50-4750),1862)-0.17*(D52-C27-15811)),0)</f>
        <v>0</v>
      </c>
      <c r="D56" s="20"/>
      <c r="E56" s="43" t="s">
        <v>40</v>
      </c>
      <c r="F56" s="35">
        <f>C27+26764</f>
        <v>27964</v>
      </c>
    </row>
    <row r="57" spans="1:6" ht="16.5" customHeight="1">
      <c r="A57" s="19" t="s">
        <v>41</v>
      </c>
      <c r="B57" s="20">
        <f>MAX(0,(B52*0.0506-(11088+B53+B54+(C16-B52*0.03))*0.0506-MAX(0,394-(B52-17493)*0.032)))</f>
        <v>403.3695645440002</v>
      </c>
      <c r="C57" s="92">
        <f>MAX(0,(C52*0.0506-(11088+C53+C54+((90.4+108.2)*3+60*8))*0.0506)-MAX(0,394-(C52-17493)*0.032))</f>
        <v>1039.0112029440002</v>
      </c>
      <c r="D57" s="20">
        <f t="shared" si="0"/>
        <v>1442.3807674880004</v>
      </c>
      <c r="E57" s="43" t="s">
        <v>42</v>
      </c>
      <c r="F57" s="35">
        <f>394/0.032+17493</f>
        <v>29805.5</v>
      </c>
    </row>
    <row r="58" spans="1:6" ht="16.5" customHeight="1">
      <c r="A58" s="19" t="s">
        <v>43</v>
      </c>
      <c r="B58" s="20">
        <f>B50-SUM(B53:B57)</f>
        <v>30724.985539456004</v>
      </c>
      <c r="C58" s="20">
        <f>C50-SUM(C53:C57)</f>
        <v>29491.434301056004</v>
      </c>
      <c r="D58" s="20">
        <f>B58+C58</f>
        <v>60216.41984051201</v>
      </c>
      <c r="E58" s="25"/>
      <c r="F58" s="25"/>
    </row>
    <row r="59" spans="1:8" ht="16.5" customHeight="1">
      <c r="A59" s="19" t="s">
        <v>44</v>
      </c>
      <c r="B59" s="20">
        <f>B58/12</f>
        <v>2560.4154616213336</v>
      </c>
      <c r="C59" s="20">
        <f>C58/12</f>
        <v>2457.6195250880005</v>
      </c>
      <c r="D59" s="20">
        <f>B59+C59</f>
        <v>5018.034986709334</v>
      </c>
      <c r="E59" s="88"/>
      <c r="H59" s="51"/>
    </row>
    <row r="60" spans="1:13" ht="16.5" customHeight="1">
      <c r="A60" s="24"/>
      <c r="B60" s="24"/>
      <c r="C60" s="24"/>
      <c r="D60" s="24"/>
      <c r="M60" s="2"/>
    </row>
    <row r="61" spans="2:4" ht="16.5" customHeight="1">
      <c r="B61" s="25"/>
      <c r="C61" s="25"/>
      <c r="D61" s="25"/>
    </row>
    <row r="62" s="6" customFormat="1" ht="16.5" customHeight="1">
      <c r="A62" s="6" t="s">
        <v>45</v>
      </c>
    </row>
    <row r="63" ht="16.5" customHeight="1"/>
    <row r="64" spans="1:7" ht="16.5" customHeight="1">
      <c r="A64" t="s">
        <v>46</v>
      </c>
      <c r="D64" s="25">
        <f>D50</f>
        <v>69742.40000000001</v>
      </c>
      <c r="G64" s="25"/>
    </row>
    <row r="65" spans="1:4" ht="16.5" customHeight="1">
      <c r="A65" t="s">
        <v>47</v>
      </c>
      <c r="D65" s="25">
        <f>SUM(B53:B57)+SUM(C53:C57)</f>
        <v>9525.980159488003</v>
      </c>
    </row>
    <row r="66" spans="1:4" ht="16.5" customHeight="1">
      <c r="A66" t="s">
        <v>48</v>
      </c>
      <c r="D66" s="25">
        <f>D64-D65</f>
        <v>60216.419840512004</v>
      </c>
    </row>
    <row r="67" spans="1:4" ht="16.5" customHeight="1">
      <c r="A67" s="2" t="s">
        <v>49</v>
      </c>
      <c r="D67" s="25">
        <f>C34</f>
        <v>3246.0639999999994</v>
      </c>
    </row>
    <row r="68" spans="1:4" ht="16.5" customHeight="1">
      <c r="A68" t="s">
        <v>50</v>
      </c>
      <c r="D68" s="25">
        <f>D66+D67</f>
        <v>63462.483840512</v>
      </c>
    </row>
    <row r="69" spans="1:4" ht="16.5" customHeight="1">
      <c r="A69" t="s">
        <v>51</v>
      </c>
      <c r="D69" s="25">
        <f>C20</f>
        <v>63459.133122788946</v>
      </c>
    </row>
    <row r="70" spans="1:4" ht="16.5" customHeight="1">
      <c r="A70" t="s">
        <v>52</v>
      </c>
      <c r="D70" s="25">
        <f>D68-D69</f>
        <v>3.350717723056732</v>
      </c>
    </row>
    <row r="71" ht="12"/>
    <row r="72" spans="3:9" ht="12.75" customHeight="1">
      <c r="C72" s="6"/>
      <c r="E72" s="6"/>
      <c r="F72" s="6"/>
      <c r="G72" s="6"/>
      <c r="H72" s="6"/>
      <c r="I72" s="6"/>
    </row>
    <row r="73" ht="12">
      <c r="B73" s="25"/>
    </row>
    <row r="74" spans="1:9" ht="12">
      <c r="A74" s="10"/>
      <c r="B74" s="27"/>
      <c r="C74" s="27"/>
      <c r="D74" s="27"/>
      <c r="E74" s="10"/>
      <c r="F74" s="10"/>
      <c r="G74" s="10"/>
      <c r="H74" s="10"/>
      <c r="I74" s="10"/>
    </row>
    <row r="75" spans="2:4" ht="12">
      <c r="B75" s="25"/>
      <c r="C75" s="89"/>
      <c r="D75" s="25"/>
    </row>
    <row r="76" spans="1:4" ht="15">
      <c r="A76" s="3"/>
      <c r="B76" s="25"/>
      <c r="C76" s="89"/>
      <c r="D76" s="25"/>
    </row>
    <row r="77" spans="2:3" ht="12">
      <c r="B77" s="25"/>
      <c r="C77" s="90"/>
    </row>
    <row r="78" spans="2:3" ht="12">
      <c r="B78" s="25"/>
      <c r="C78" s="90"/>
    </row>
    <row r="79" spans="2:6" ht="12">
      <c r="B79" s="9"/>
      <c r="C79" s="9"/>
      <c r="D79" s="9"/>
      <c r="E79" s="9"/>
      <c r="F79" s="9"/>
    </row>
    <row r="80" spans="2:6" ht="12">
      <c r="B80" s="9"/>
      <c r="C80" s="9"/>
      <c r="D80" s="9"/>
      <c r="E80" s="9"/>
      <c r="F80" s="9"/>
    </row>
    <row r="81" spans="2:6" ht="12">
      <c r="B81" s="9"/>
      <c r="C81" s="9"/>
      <c r="D81" s="9"/>
      <c r="E81" s="9"/>
      <c r="F81" s="9"/>
    </row>
    <row r="82" spans="4:6" ht="12">
      <c r="D82" s="44"/>
      <c r="E82" s="44"/>
      <c r="F82" s="91"/>
    </row>
    <row r="83" spans="4:6" ht="12">
      <c r="D83" s="44"/>
      <c r="E83" s="44"/>
      <c r="F83" s="91"/>
    </row>
    <row r="84" spans="4:6" ht="12">
      <c r="D84" s="44"/>
      <c r="E84" s="44"/>
      <c r="F84" s="91"/>
    </row>
    <row r="85" spans="4:6" ht="12">
      <c r="D85" s="44"/>
      <c r="E85" s="44"/>
      <c r="F85" s="91"/>
    </row>
    <row r="86" ht="12"/>
    <row r="87" ht="12"/>
    <row r="88" spans="2:6" ht="12">
      <c r="B88" s="9"/>
      <c r="C88" s="9"/>
      <c r="D88" s="9"/>
      <c r="E88" s="9"/>
      <c r="F88" s="9"/>
    </row>
    <row r="89" spans="2:6" ht="12">
      <c r="B89" s="9"/>
      <c r="C89" s="9"/>
      <c r="D89" s="9"/>
      <c r="E89" s="9"/>
      <c r="F89" s="9"/>
    </row>
    <row r="90" spans="2:6" ht="12">
      <c r="B90" s="9"/>
      <c r="C90" s="9"/>
      <c r="D90" s="9"/>
      <c r="E90" s="9"/>
      <c r="F90" s="9"/>
    </row>
    <row r="91" spans="4:6" ht="12">
      <c r="D91" s="44"/>
      <c r="E91" s="44"/>
      <c r="F91" s="91"/>
    </row>
    <row r="92" spans="4:6" ht="12">
      <c r="D92" s="44"/>
      <c r="E92" s="44"/>
      <c r="F92" s="91"/>
    </row>
    <row r="93" spans="4:6" ht="12">
      <c r="D93" s="44"/>
      <c r="E93" s="44"/>
      <c r="F93" s="91"/>
    </row>
    <row r="94" spans="4:6" ht="12">
      <c r="D94" s="44"/>
      <c r="E94" s="44"/>
      <c r="F94" s="91"/>
    </row>
    <row r="95" spans="2:3" ht="12">
      <c r="B95" s="25"/>
      <c r="C95" s="89"/>
    </row>
    <row r="96" spans="2:4" ht="12">
      <c r="B96" s="25"/>
      <c r="C96" s="25"/>
      <c r="D96" s="25"/>
    </row>
    <row r="97" spans="2:3" ht="12">
      <c r="B97" s="25"/>
      <c r="C97" s="90"/>
    </row>
    <row r="98" spans="2:3" ht="12">
      <c r="B98" s="25"/>
      <c r="C98" s="90"/>
    </row>
    <row r="99" spans="2:6" ht="12">
      <c r="B99" s="9"/>
      <c r="C99" s="9"/>
      <c r="D99" s="9"/>
      <c r="E99" s="9"/>
      <c r="F99" s="9"/>
    </row>
    <row r="100" spans="2:6" ht="12">
      <c r="B100" s="9"/>
      <c r="C100" s="9"/>
      <c r="D100" s="9"/>
      <c r="E100" s="9"/>
      <c r="F100" s="9"/>
    </row>
    <row r="101" spans="2:6" ht="12">
      <c r="B101" s="9"/>
      <c r="C101" s="9"/>
      <c r="D101" s="9"/>
      <c r="E101" s="9"/>
      <c r="F101" s="9"/>
    </row>
    <row r="102" spans="4:6" ht="12">
      <c r="D102" s="44"/>
      <c r="E102" s="44"/>
      <c r="F102" s="91"/>
    </row>
    <row r="103" spans="4:6" ht="12">
      <c r="D103" s="44"/>
      <c r="E103" s="44"/>
      <c r="F103" s="91"/>
    </row>
    <row r="104" spans="4:6" ht="12">
      <c r="D104" s="44"/>
      <c r="E104" s="44"/>
      <c r="F104" s="91"/>
    </row>
    <row r="105" spans="4:6" ht="12">
      <c r="D105" s="44"/>
      <c r="E105" s="44"/>
      <c r="F105" s="91"/>
    </row>
    <row r="106" ht="12"/>
  </sheetData>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AB105"/>
  <sheetViews>
    <sheetView workbookViewId="0" topLeftCell="A1">
      <selection activeCell="B18" sqref="B18"/>
    </sheetView>
  </sheetViews>
  <sheetFormatPr defaultColWidth="11.00390625" defaultRowHeight="12.75"/>
  <cols>
    <col min="1" max="1" width="19.75390625" style="0" customWidth="1"/>
    <col min="11" max="11" width="20.00390625" style="0" customWidth="1"/>
  </cols>
  <sheetData>
    <row r="1" spans="1:9" ht="16.5" customHeight="1">
      <c r="A1" s="1" t="s">
        <v>57</v>
      </c>
      <c r="B1" s="1"/>
      <c r="C1" s="2"/>
      <c r="D1" s="2"/>
      <c r="E1" s="2"/>
      <c r="F1" s="2"/>
      <c r="G1" s="2"/>
      <c r="H1" s="2"/>
      <c r="I1" s="2"/>
    </row>
    <row r="2" spans="2:5" s="3" customFormat="1" ht="16.5" customHeight="1">
      <c r="B2" s="3" t="s">
        <v>58</v>
      </c>
      <c r="D2" s="4"/>
      <c r="E2" s="5"/>
    </row>
    <row r="3" spans="1:10" ht="16.5" customHeight="1">
      <c r="A3" s="2" t="s">
        <v>54</v>
      </c>
      <c r="C3" s="3"/>
      <c r="D3" s="4"/>
      <c r="E3" s="5"/>
      <c r="F3" s="3"/>
      <c r="G3" s="3"/>
      <c r="H3" s="3"/>
      <c r="I3" s="3"/>
      <c r="J3" s="3"/>
    </row>
    <row r="4" spans="1:10" ht="16.5" customHeight="1">
      <c r="A4" s="3"/>
      <c r="B4" s="2"/>
      <c r="C4" s="3"/>
      <c r="D4" s="4"/>
      <c r="E4" s="5"/>
      <c r="F4" s="3"/>
      <c r="G4" s="3"/>
      <c r="H4" s="3"/>
      <c r="I4" s="3"/>
      <c r="J4" s="3"/>
    </row>
    <row r="5" spans="2:8" ht="16.5" customHeight="1">
      <c r="B5" s="6" t="s">
        <v>59</v>
      </c>
      <c r="H5" s="51"/>
    </row>
    <row r="6" spans="3:14" ht="16.5" customHeight="1">
      <c r="C6" s="6"/>
      <c r="E6" s="7"/>
      <c r="F6" s="7"/>
      <c r="G6" s="7"/>
      <c r="H6" s="10"/>
      <c r="I6" s="10"/>
      <c r="J6" s="10"/>
      <c r="K6" s="10"/>
      <c r="L6" s="10"/>
      <c r="N6" s="11"/>
    </row>
    <row r="7" spans="1:23" ht="16.5" customHeight="1">
      <c r="A7" s="12" t="s">
        <v>60</v>
      </c>
      <c r="B7" s="13" t="s">
        <v>61</v>
      </c>
      <c r="C7" s="13" t="s">
        <v>62</v>
      </c>
      <c r="D7" s="14" t="s">
        <v>63</v>
      </c>
      <c r="E7" s="14" t="s">
        <v>64</v>
      </c>
      <c r="F7" s="15"/>
      <c r="G7" s="8"/>
      <c r="K7" s="9"/>
      <c r="L7" s="10"/>
      <c r="M7" s="10"/>
      <c r="N7" s="10"/>
      <c r="O7" s="10"/>
      <c r="P7" s="10"/>
      <c r="R7" s="9"/>
      <c r="S7" s="10"/>
      <c r="T7" s="10"/>
      <c r="U7" s="10"/>
      <c r="V7" s="10"/>
      <c r="W7" s="10"/>
    </row>
    <row r="8" spans="1:18" ht="16.5" customHeight="1">
      <c r="A8" s="19" t="s">
        <v>65</v>
      </c>
      <c r="B8" s="20"/>
      <c r="C8" s="20"/>
      <c r="D8" s="21" t="s">
        <v>66</v>
      </c>
      <c r="E8" s="14" t="s">
        <v>67</v>
      </c>
      <c r="F8" s="22"/>
      <c r="H8" s="25"/>
      <c r="K8" s="27"/>
      <c r="R8" s="27"/>
    </row>
    <row r="9" spans="1:22" ht="16.5" customHeight="1">
      <c r="A9" s="19" t="s">
        <v>68</v>
      </c>
      <c r="B9" s="92">
        <f>((206+243.59+148.01+143.03)*(944.16*1153753+851.07*1629695)/(1153753+1629695))/868.43</f>
        <v>758.7325642578674</v>
      </c>
      <c r="C9" s="92">
        <f>B9*12</f>
        <v>9104.79077109441</v>
      </c>
      <c r="D9" s="28">
        <f>C9/C20</f>
        <v>0.1434811991653615</v>
      </c>
      <c r="E9" s="28">
        <f>C9/D50</f>
        <v>0.13068527408072403</v>
      </c>
      <c r="F9" s="22"/>
      <c r="G9" s="24"/>
      <c r="H9" s="25"/>
      <c r="K9" s="27"/>
      <c r="O9" s="11"/>
      <c r="R9" s="27"/>
      <c r="V9" s="11"/>
    </row>
    <row r="10" spans="1:23" ht="16.5" customHeight="1">
      <c r="A10" s="19" t="s">
        <v>69</v>
      </c>
      <c r="B10" s="92">
        <f>C10/12</f>
        <v>183.12273641851104</v>
      </c>
      <c r="C10" s="92">
        <f>2238*97.6/99.4</f>
        <v>2197.4728370221324</v>
      </c>
      <c r="D10" s="28">
        <f>C10/C20</f>
        <v>0.034629685153253174</v>
      </c>
      <c r="E10" s="28">
        <f>C10/D50</f>
        <v>0.031541344245153306</v>
      </c>
      <c r="F10" s="31"/>
      <c r="G10" s="32"/>
      <c r="H10" s="25"/>
      <c r="K10" s="27"/>
      <c r="O10" s="11"/>
      <c r="P10" s="33"/>
      <c r="R10" s="27"/>
      <c r="V10" s="11"/>
      <c r="W10" s="33"/>
    </row>
    <row r="11" spans="1:23" ht="16.5" customHeight="1">
      <c r="A11" s="19" t="s">
        <v>70</v>
      </c>
      <c r="B11" s="92">
        <f>1250+102*(130.6/115.1)+40.32+30</f>
        <v>1436.0558818418765</v>
      </c>
      <c r="C11" s="92">
        <f>B11*12</f>
        <v>17232.670582102517</v>
      </c>
      <c r="D11" s="28">
        <f>C11/C20</f>
        <v>0.27156738711575157</v>
      </c>
      <c r="E11" s="28">
        <f>C11/D50</f>
        <v>0.2473484932036716</v>
      </c>
      <c r="F11" s="22"/>
      <c r="G11" s="25"/>
      <c r="H11" s="25"/>
      <c r="K11" s="27"/>
      <c r="O11" s="11"/>
      <c r="P11" s="33"/>
      <c r="R11" s="27"/>
      <c r="V11" s="11"/>
      <c r="W11" s="33"/>
    </row>
    <row r="12" spans="1:23" ht="16.5" customHeight="1">
      <c r="A12" s="19" t="s">
        <v>71</v>
      </c>
      <c r="B12" s="92">
        <f>C12/12</f>
        <v>467.92661127895275</v>
      </c>
      <c r="C12" s="92">
        <f>4406*(148.3/132.4)+110*4+30*8</f>
        <v>5615.119335347433</v>
      </c>
      <c r="D12" s="28">
        <f>C12/C20</f>
        <v>0.0884879264057394</v>
      </c>
      <c r="E12" s="28">
        <f>C12/D50</f>
        <v>0.08059640553910792</v>
      </c>
      <c r="F12" s="31"/>
      <c r="H12" s="25"/>
      <c r="K12" s="27"/>
      <c r="O12" s="11"/>
      <c r="P12" s="33"/>
      <c r="R12" s="27"/>
      <c r="V12" s="11"/>
      <c r="W12" s="33"/>
    </row>
    <row r="13" spans="1:23" ht="16.5" customHeight="1">
      <c r="A13" s="19" t="s">
        <v>72</v>
      </c>
      <c r="B13" s="20">
        <f>C13/12</f>
        <v>698.8566331018728</v>
      </c>
      <c r="C13" s="20">
        <f>(C9+C10)*0.742</f>
        <v>8386.279597222474</v>
      </c>
      <c r="D13" s="28">
        <f>C13/C20</f>
        <v>0.13215827616441211</v>
      </c>
      <c r="E13" s="28">
        <f>C13/D50</f>
        <v>0.12037215079780098</v>
      </c>
      <c r="F13" s="22"/>
      <c r="G13" s="25"/>
      <c r="H13" s="25"/>
      <c r="K13" s="27"/>
      <c r="M13" s="10"/>
      <c r="O13" s="11"/>
      <c r="P13" s="33"/>
      <c r="R13" s="27"/>
      <c r="T13" s="10"/>
      <c r="V13" s="11"/>
      <c r="W13" s="33"/>
    </row>
    <row r="14" spans="1:23" s="43" customFormat="1" ht="16.5" customHeight="1">
      <c r="A14" s="21" t="s">
        <v>73</v>
      </c>
      <c r="B14" s="41"/>
      <c r="C14" s="41">
        <f>SUM(C9:C13)</f>
        <v>42536.33312278896</v>
      </c>
      <c r="D14" s="42">
        <f>C14/C20</f>
        <v>0.6703244740045177</v>
      </c>
      <c r="E14" s="42">
        <f>C14/D50</f>
        <v>0.6105436678664578</v>
      </c>
      <c r="F14" s="15"/>
      <c r="G14" s="93"/>
      <c r="H14" s="25"/>
      <c r="I14"/>
      <c r="J14"/>
      <c r="K14" s="27"/>
      <c r="L14"/>
      <c r="M14"/>
      <c r="N14"/>
      <c r="O14" s="11"/>
      <c r="P14" s="33"/>
      <c r="R14" s="27"/>
      <c r="S14"/>
      <c r="T14"/>
      <c r="U14"/>
      <c r="V14" s="11"/>
      <c r="W14" s="33"/>
    </row>
    <row r="15" spans="1:23" ht="16.5" customHeight="1">
      <c r="A15" s="19" t="s">
        <v>74</v>
      </c>
      <c r="B15" s="92">
        <f>C15/12</f>
        <v>1168.3333333333333</v>
      </c>
      <c r="C15" s="92">
        <f>810*12+340*10+550*1+175*2</f>
        <v>14020</v>
      </c>
      <c r="D15" s="28">
        <f>C15/C20</f>
        <v>0.2209393343430527</v>
      </c>
      <c r="E15" s="28">
        <f>C15/D50</f>
        <v>0.2012355460631323</v>
      </c>
      <c r="F15" s="22"/>
      <c r="G15" s="24"/>
      <c r="H15" s="44"/>
      <c r="I15" s="44"/>
      <c r="K15" s="27"/>
      <c r="M15" s="10"/>
      <c r="O15" s="11"/>
      <c r="P15" s="33"/>
      <c r="R15" s="27"/>
      <c r="T15" s="10"/>
      <c r="V15" s="11"/>
      <c r="W15" s="33"/>
    </row>
    <row r="16" spans="1:23" ht="16.5" customHeight="1">
      <c r="A16" s="19" t="s">
        <v>75</v>
      </c>
      <c r="B16" s="92">
        <v>133</v>
      </c>
      <c r="C16" s="92">
        <f>B16*12</f>
        <v>1596</v>
      </c>
      <c r="D16" s="28">
        <f>C16/C20</f>
        <v>0.02515115389525764</v>
      </c>
      <c r="E16" s="28">
        <f>C16/D50</f>
        <v>0.02290812635640222</v>
      </c>
      <c r="F16" s="17"/>
      <c r="G16" s="24"/>
      <c r="K16" s="27"/>
      <c r="L16" s="44"/>
      <c r="O16" s="11"/>
      <c r="P16" s="33"/>
      <c r="R16" s="27"/>
      <c r="S16" s="44"/>
      <c r="V16" s="11"/>
      <c r="W16" s="33"/>
    </row>
    <row r="17" spans="1:23" ht="16.5" customHeight="1">
      <c r="A17" s="19" t="s">
        <v>76</v>
      </c>
      <c r="B17" s="20">
        <f>IF((N30-3*3000+N28/2-1200)&gt;30000,128,IF((N30-3*3000+N28/2-1200)&gt;28000,92.8,IF((N30-3*3000+N28/2-1200)&gt;26000,69.6,IF((N30-3*3000+N28/2-1200)&gt;24000,46.4,IF((N30-3*3000+N28/2-1200)&gt;22000,23.2,IF((N30-3*3000+N28/2-1200)&gt;1,0))))))</f>
        <v>128</v>
      </c>
      <c r="C17" s="20">
        <f>B17*12</f>
        <v>1536</v>
      </c>
      <c r="D17" s="28">
        <f>C17/C20</f>
        <v>0.024205621793932167</v>
      </c>
      <c r="E17" s="28">
        <f>C17/D50</f>
        <v>0.022046918598642738</v>
      </c>
      <c r="F17" s="22"/>
      <c r="G17" s="24"/>
      <c r="K17" s="27"/>
      <c r="M17" s="2"/>
      <c r="O17" s="11"/>
      <c r="P17" s="33"/>
      <c r="R17" s="27"/>
      <c r="T17" s="2"/>
      <c r="V17" s="11"/>
      <c r="W17" s="33"/>
    </row>
    <row r="18" spans="1:23" ht="16.5" customHeight="1">
      <c r="A18" s="19" t="s">
        <v>77</v>
      </c>
      <c r="B18" s="20">
        <f>C18/12</f>
        <v>223.29999999999998</v>
      </c>
      <c r="C18" s="20">
        <f>B47*B48*2+C47*C48*2</f>
        <v>2679.6</v>
      </c>
      <c r="D18" s="28">
        <f>C18/C20</f>
        <v>0.04222746364519572</v>
      </c>
      <c r="E18" s="28">
        <f>C18/D50</f>
        <v>0.038461538461538464</v>
      </c>
      <c r="F18" s="22"/>
      <c r="H18" s="2"/>
      <c r="I18" s="2"/>
      <c r="K18" s="27"/>
      <c r="O18" s="11"/>
      <c r="P18" s="33"/>
      <c r="R18" s="27"/>
      <c r="V18" s="11"/>
      <c r="W18" s="33"/>
    </row>
    <row r="19" spans="1:23" ht="16.5" customHeight="1">
      <c r="A19" s="19" t="s">
        <v>78</v>
      </c>
      <c r="B19" s="92">
        <f>C19/12</f>
        <v>90.7</v>
      </c>
      <c r="C19" s="92">
        <f>(90.4+108.2)*3+150*2+(31+43.4+21.9)*2</f>
        <v>1088.4</v>
      </c>
      <c r="D19" s="28">
        <f>C19/C20</f>
        <v>0.017151952318044124</v>
      </c>
      <c r="E19" s="28">
        <f>C19/D50</f>
        <v>0.015622308725757005</v>
      </c>
      <c r="F19" s="22"/>
      <c r="G19" s="48"/>
      <c r="I19" s="2"/>
      <c r="K19" s="27"/>
      <c r="L19" s="2"/>
      <c r="M19" s="2"/>
      <c r="O19" s="11"/>
      <c r="P19" s="33"/>
      <c r="R19" s="27"/>
      <c r="S19" s="2"/>
      <c r="T19" s="2"/>
      <c r="V19" s="11"/>
      <c r="W19" s="33"/>
    </row>
    <row r="20" spans="1:23" ht="16.5" customHeight="1">
      <c r="A20" s="19" t="s">
        <v>79</v>
      </c>
      <c r="B20" s="20">
        <f>SUM(B8:B19)</f>
        <v>5288.027760232414</v>
      </c>
      <c r="C20" s="20">
        <f>SUM(C9:C19)-C14</f>
        <v>63456.33312278896</v>
      </c>
      <c r="D20" s="28">
        <f>C20/C20</f>
        <v>1</v>
      </c>
      <c r="E20" s="28">
        <f>SUM(E9:E19)-E14</f>
        <v>0.9108181060719305</v>
      </c>
      <c r="F20" s="17"/>
      <c r="G20" s="37"/>
      <c r="I20" s="2"/>
      <c r="K20" s="27"/>
      <c r="L20" s="2"/>
      <c r="O20" s="11"/>
      <c r="P20" s="33"/>
      <c r="R20" s="27"/>
      <c r="S20" s="2"/>
      <c r="V20" s="11"/>
      <c r="W20" s="33"/>
    </row>
    <row r="21" spans="1:23" ht="16.5" customHeight="1">
      <c r="A21" s="7"/>
      <c r="B21" s="24"/>
      <c r="C21" s="24"/>
      <c r="D21" s="24"/>
      <c r="E21" s="24"/>
      <c r="F21" s="24"/>
      <c r="G21" s="24"/>
      <c r="I21" s="2"/>
      <c r="K21" s="27"/>
      <c r="L21" s="2"/>
      <c r="O21" s="11"/>
      <c r="P21" s="33"/>
      <c r="R21" s="27"/>
      <c r="S21" s="2"/>
      <c r="V21" s="11"/>
      <c r="W21" s="33"/>
    </row>
    <row r="22" spans="1:28" ht="16.5" customHeight="1">
      <c r="A22" s="7"/>
      <c r="B22" s="24"/>
      <c r="C22" s="24"/>
      <c r="D22" s="24"/>
      <c r="E22" s="24"/>
      <c r="F22" s="24"/>
      <c r="G22" s="24"/>
      <c r="H22" s="38"/>
      <c r="I22" s="24"/>
      <c r="J22" s="35"/>
      <c r="K22" s="25"/>
      <c r="L22" s="27"/>
      <c r="N22" s="2"/>
      <c r="P22" s="27"/>
      <c r="Q22" s="2"/>
      <c r="T22" s="11"/>
      <c r="U22" s="33"/>
      <c r="W22" s="27"/>
      <c r="X22" s="2"/>
      <c r="AA22" s="11"/>
      <c r="AB22" s="33"/>
    </row>
    <row r="23" spans="2:28" ht="16.5" customHeight="1">
      <c r="B23" s="6" t="s">
        <v>80</v>
      </c>
      <c r="K23" s="6" t="s">
        <v>3</v>
      </c>
      <c r="L23" s="27"/>
      <c r="N23" s="2"/>
      <c r="P23" s="27"/>
      <c r="Q23" s="2"/>
      <c r="T23" s="11"/>
      <c r="U23" s="33"/>
      <c r="W23" s="27"/>
      <c r="X23" s="2"/>
      <c r="AA23" s="11"/>
      <c r="AB23" s="33"/>
    </row>
    <row r="24" spans="3:28" ht="16.5" customHeight="1">
      <c r="C24" s="6"/>
      <c r="L24" s="27"/>
      <c r="N24" s="2"/>
      <c r="P24" s="52"/>
      <c r="Q24" s="2"/>
      <c r="R24" s="2"/>
      <c r="S24" s="10"/>
      <c r="T24" s="53"/>
      <c r="U24" s="54"/>
      <c r="W24" s="52"/>
      <c r="X24" s="2"/>
      <c r="Y24" s="2"/>
      <c r="Z24" s="10"/>
      <c r="AA24" s="53"/>
      <c r="AB24" s="54"/>
    </row>
    <row r="25" spans="1:28" ht="16.5" customHeight="1">
      <c r="A25" s="55" t="s">
        <v>67</v>
      </c>
      <c r="B25" s="13" t="s">
        <v>61</v>
      </c>
      <c r="C25" s="13" t="s">
        <v>62</v>
      </c>
      <c r="D25" s="9"/>
      <c r="E25" s="56" t="s">
        <v>4</v>
      </c>
      <c r="F25" s="56" t="s">
        <v>82</v>
      </c>
      <c r="G25" s="56" t="s">
        <v>83</v>
      </c>
      <c r="H25" s="57" t="s">
        <v>84</v>
      </c>
      <c r="I25" s="9"/>
      <c r="K25" s="12" t="s">
        <v>5</v>
      </c>
      <c r="L25" s="13" t="s">
        <v>20</v>
      </c>
      <c r="M25" s="13" t="s">
        <v>21</v>
      </c>
      <c r="N25" s="13" t="s">
        <v>79</v>
      </c>
      <c r="P25" s="52"/>
      <c r="Q25" s="2"/>
      <c r="R25" s="2"/>
      <c r="S25" s="10"/>
      <c r="T25" s="53"/>
      <c r="U25" s="54"/>
      <c r="W25" s="52"/>
      <c r="X25" s="2"/>
      <c r="Y25" s="2"/>
      <c r="Z25" s="10"/>
      <c r="AA25" s="53"/>
      <c r="AB25" s="54"/>
    </row>
    <row r="26" spans="1:28" ht="16.5" customHeight="1">
      <c r="A26" s="19" t="s">
        <v>85</v>
      </c>
      <c r="B26" s="20">
        <f>C26/12</f>
        <v>174.75200000000004</v>
      </c>
      <c r="C26" s="20">
        <f>1367*2-(N30-N27-41544)*0.04</f>
        <v>2097.0240000000003</v>
      </c>
      <c r="D26" s="58"/>
      <c r="E26" s="35">
        <f>1367*2-((N30-N27-41544)*0.04)+((2118+1873)-(N30-N27-24183)*0.23)</f>
        <v>-1567.6179999999986</v>
      </c>
      <c r="F26" s="35">
        <f>N27+41544</f>
        <v>42744</v>
      </c>
      <c r="G26" s="35">
        <f>(1367*2)/0.04+N27+41544</f>
        <v>111094</v>
      </c>
      <c r="H26" s="35">
        <f>(2118+1873)/0.23+N27+24183</f>
        <v>42735.17391304347</v>
      </c>
      <c r="K26" s="19" t="s">
        <v>6</v>
      </c>
      <c r="L26" s="106">
        <v>34234.2</v>
      </c>
      <c r="M26" s="92">
        <v>34234.2</v>
      </c>
      <c r="N26" s="100">
        <f>SUM(L26:M26)</f>
        <v>68468.4</v>
      </c>
      <c r="P26" s="27"/>
      <c r="Q26" s="2"/>
      <c r="T26" s="11"/>
      <c r="U26" s="33"/>
      <c r="W26" s="27"/>
      <c r="X26" s="2"/>
      <c r="AA26" s="11"/>
      <c r="AB26" s="33"/>
    </row>
    <row r="27" spans="1:28" ht="16.5" customHeight="1">
      <c r="A27" s="19" t="s">
        <v>86</v>
      </c>
      <c r="B27" s="20">
        <f>100</f>
        <v>100</v>
      </c>
      <c r="C27" s="20">
        <f>B27*12</f>
        <v>1200</v>
      </c>
      <c r="D27" s="58"/>
      <c r="K27" s="19" t="s">
        <v>7</v>
      </c>
      <c r="L27" s="106">
        <v>1200</v>
      </c>
      <c r="M27" s="92"/>
      <c r="N27" s="100">
        <f>SUM(L27:M27)</f>
        <v>1200</v>
      </c>
      <c r="P27" s="27"/>
      <c r="Q27" s="2"/>
      <c r="T27" s="11"/>
      <c r="U27" s="33"/>
      <c r="W27" s="27"/>
      <c r="X27" s="2"/>
      <c r="AA27" s="11"/>
      <c r="AB27" s="33"/>
    </row>
    <row r="28" spans="1:28" ht="16.5" customHeight="1">
      <c r="A28" s="19" t="s">
        <v>87</v>
      </c>
      <c r="B28" s="20">
        <f>C28/12</f>
        <v>0</v>
      </c>
      <c r="C28" s="109">
        <v>0</v>
      </c>
      <c r="D28" s="107"/>
      <c r="G28" s="35"/>
      <c r="H28" s="25"/>
      <c r="I28" s="25"/>
      <c r="K28" s="19" t="s">
        <v>8</v>
      </c>
      <c r="L28" s="106">
        <v>11000</v>
      </c>
      <c r="M28" s="92"/>
      <c r="N28" s="100">
        <f>SUM(L28:M28)</f>
        <v>11000</v>
      </c>
      <c r="P28" s="27"/>
      <c r="Q28" s="2"/>
      <c r="T28" s="11"/>
      <c r="U28" s="33"/>
      <c r="W28" s="27"/>
      <c r="X28" s="2"/>
      <c r="AA28" s="11"/>
      <c r="AB28" s="33"/>
    </row>
    <row r="29" spans="1:28" ht="16.5" customHeight="1">
      <c r="A29" s="19" t="s">
        <v>88</v>
      </c>
      <c r="B29" s="20">
        <f>(C29)/12</f>
        <v>0</v>
      </c>
      <c r="C29" s="109">
        <f>IF(N30&lt;34161,2*(253+133),MAX(0,E29))</f>
        <v>0</v>
      </c>
      <c r="D29" s="107"/>
      <c r="E29" s="35">
        <f>(253+253+133+133)-(N30-N27-32961)*0.05</f>
        <v>-453.36999999999966</v>
      </c>
      <c r="F29" s="35">
        <f>N27+32961</f>
        <v>34161</v>
      </c>
      <c r="G29" s="35">
        <f>(253+253+133+133)/0.05+N27+32961</f>
        <v>49601</v>
      </c>
      <c r="H29" s="25"/>
      <c r="I29" s="25"/>
      <c r="K29" s="19" t="s">
        <v>9</v>
      </c>
      <c r="L29" s="106">
        <f>L27-L28</f>
        <v>-9800</v>
      </c>
      <c r="M29" s="92"/>
      <c r="N29" s="100">
        <f>SUM(L29:M29)</f>
        <v>-9800</v>
      </c>
      <c r="P29" s="27"/>
      <c r="Q29" s="2"/>
      <c r="T29" s="11"/>
      <c r="U29" s="33"/>
      <c r="W29" s="27"/>
      <c r="X29" s="2"/>
      <c r="AA29" s="11"/>
      <c r="AB29" s="33"/>
    </row>
    <row r="30" spans="1:28" ht="16.5" customHeight="1">
      <c r="A30" s="19" t="s">
        <v>89</v>
      </c>
      <c r="B30" s="92">
        <f>C30/12</f>
        <v>0</v>
      </c>
      <c r="C30" s="92">
        <v>0</v>
      </c>
      <c r="D30" s="110" t="s">
        <v>56</v>
      </c>
      <c r="E30" s="35"/>
      <c r="F30" s="34"/>
      <c r="G30" s="35"/>
      <c r="H30" s="25"/>
      <c r="I30" s="25"/>
      <c r="K30" s="19" t="s">
        <v>10</v>
      </c>
      <c r="L30" s="106">
        <f>L26+L29</f>
        <v>24434.199999999997</v>
      </c>
      <c r="M30" s="106">
        <f>M26-M29</f>
        <v>34234.2</v>
      </c>
      <c r="N30" s="100">
        <f>SUM(L30:M30)</f>
        <v>58668.399999999994</v>
      </c>
      <c r="P30" s="27"/>
      <c r="Q30" s="2"/>
      <c r="T30" s="11"/>
      <c r="U30" s="33"/>
      <c r="W30" s="27"/>
      <c r="X30" s="2"/>
      <c r="AA30" s="11"/>
      <c r="AB30" s="33"/>
    </row>
    <row r="31" spans="1:28" ht="16.5" customHeight="1">
      <c r="A31" s="62" t="s">
        <v>90</v>
      </c>
      <c r="B31" s="20">
        <v>0</v>
      </c>
      <c r="C31" s="109">
        <f>IF(N30&lt;37330,2*(115.5+34.5),MAX(0,E31))</f>
        <v>0</v>
      </c>
      <c r="D31" s="108"/>
      <c r="E31" s="37">
        <f>115.5+115.5+34.5+34.5-(N30-N27-36130)*0.02</f>
        <v>-126.76799999999992</v>
      </c>
      <c r="F31" s="35">
        <f>N27+36130</f>
        <v>37330</v>
      </c>
      <c r="G31" s="35">
        <f>(115.5+115.5+34.5+34.5)/0.02+36130+N27</f>
        <v>52330</v>
      </c>
      <c r="H31" s="25"/>
      <c r="I31" s="25"/>
      <c r="K31" s="19" t="s">
        <v>11</v>
      </c>
      <c r="L31" s="106">
        <f>L26*0.0173</f>
        <v>592.2516599999999</v>
      </c>
      <c r="M31" s="106">
        <f>M26*0.0173</f>
        <v>592.2516599999999</v>
      </c>
      <c r="N31" s="100">
        <f>SUM(L31:M31)</f>
        <v>1184.5033199999998</v>
      </c>
      <c r="P31" s="27"/>
      <c r="Q31" s="2"/>
      <c r="T31" s="11"/>
      <c r="U31" s="33"/>
      <c r="W31" s="27"/>
      <c r="X31" s="2"/>
      <c r="AA31" s="11"/>
      <c r="AB31" s="33"/>
    </row>
    <row r="32" spans="1:27" ht="16.5" customHeight="1">
      <c r="A32" s="19" t="s">
        <v>91</v>
      </c>
      <c r="B32" s="92">
        <v>0</v>
      </c>
      <c r="C32" s="92">
        <v>0</v>
      </c>
      <c r="D32" s="35"/>
      <c r="E32" s="35"/>
      <c r="F32" s="35"/>
      <c r="H32" s="25"/>
      <c r="J32" s="25"/>
      <c r="K32" s="19" t="s">
        <v>12</v>
      </c>
      <c r="L32" s="106">
        <f>(L26-3500)*0.0495</f>
        <v>1521.3428999999999</v>
      </c>
      <c r="M32" s="106">
        <f>(M26-3500)*0.0495</f>
        <v>1521.3428999999999</v>
      </c>
      <c r="N32" s="100">
        <f>SUM(L32:M32)</f>
        <v>3042.6857999999997</v>
      </c>
      <c r="P32" s="27"/>
      <c r="T32" s="11"/>
      <c r="W32" s="27"/>
      <c r="AA32" s="11"/>
    </row>
    <row r="33" spans="1:28" ht="16.5" customHeight="1">
      <c r="A33" s="19" t="s">
        <v>92</v>
      </c>
      <c r="B33" s="20">
        <f>(C33)/12</f>
        <v>0</v>
      </c>
      <c r="C33" s="20">
        <f>IF(N30&lt;26200,4*230,MAX(0,E33))</f>
        <v>0</v>
      </c>
      <c r="D33" s="58"/>
      <c r="E33" s="35">
        <f>(230*4)-(N30-N27-25000)*0.04</f>
        <v>-378.7359999999999</v>
      </c>
      <c r="F33" s="35">
        <f>N27+25000</f>
        <v>26200</v>
      </c>
      <c r="G33" s="35">
        <f>(4*230)/0.04+N27+25000</f>
        <v>49200</v>
      </c>
      <c r="H33" s="25"/>
      <c r="I33" s="25"/>
      <c r="K33" s="19" t="s">
        <v>13</v>
      </c>
      <c r="L33" s="106">
        <v>1503.694716</v>
      </c>
      <c r="M33" s="106">
        <v>2019.2258159999997</v>
      </c>
      <c r="N33" s="100">
        <f>SUM(L33:M33)</f>
        <v>3522.9205319999996</v>
      </c>
      <c r="P33" s="27"/>
      <c r="Q33" s="2"/>
      <c r="T33" s="11"/>
      <c r="U33" s="33"/>
      <c r="W33" s="27"/>
      <c r="X33" s="2"/>
      <c r="AA33" s="11"/>
      <c r="AB33" s="33"/>
    </row>
    <row r="34" spans="1:25" ht="16.5" customHeight="1">
      <c r="A34" s="19" t="s">
        <v>79</v>
      </c>
      <c r="B34" s="20">
        <f>SUM(B26:B32)</f>
        <v>274.75200000000007</v>
      </c>
      <c r="C34" s="20">
        <f>SUM(C26:C33)</f>
        <v>3297.0240000000003</v>
      </c>
      <c r="D34" s="111" t="s">
        <v>0</v>
      </c>
      <c r="H34" s="25"/>
      <c r="I34" s="25"/>
      <c r="K34" s="19" t="s">
        <v>14</v>
      </c>
      <c r="L34" s="106">
        <v>365.7225508639999</v>
      </c>
      <c r="M34" s="106">
        <v>1014.8591752639999</v>
      </c>
      <c r="N34" s="100">
        <f>SUM(L34:M34)</f>
        <v>1380.581726128</v>
      </c>
      <c r="P34" s="27"/>
      <c r="Q34" s="10"/>
      <c r="R34" s="10"/>
      <c r="W34" s="27"/>
      <c r="X34" s="10"/>
      <c r="Y34" s="10"/>
    </row>
    <row r="35" spans="2:14" ht="16.5" customHeight="1">
      <c r="B35" s="25"/>
      <c r="C35" s="25"/>
      <c r="K35" s="19" t="s">
        <v>15</v>
      </c>
      <c r="L35" s="106">
        <f>L26-SUM(L31:L34)</f>
        <v>30251.188173135997</v>
      </c>
      <c r="M35" s="106">
        <f>M26-SUM(M31:M34)</f>
        <v>29086.520448736</v>
      </c>
      <c r="N35" s="100">
        <f>SUM(L35:M35)</f>
        <v>59337.70862187199</v>
      </c>
    </row>
    <row r="36" spans="2:14" ht="16.5" customHeight="1">
      <c r="B36" s="6" t="s">
        <v>93</v>
      </c>
      <c r="K36" s="7"/>
      <c r="L36" s="94"/>
      <c r="M36" s="24"/>
      <c r="N36" s="95"/>
    </row>
    <row r="37" spans="1:12" ht="16.5" customHeight="1">
      <c r="A37" s="3"/>
      <c r="L37" s="27"/>
    </row>
    <row r="38" spans="1:27" ht="16.5" customHeight="1">
      <c r="A38" s="64"/>
      <c r="B38" s="13"/>
      <c r="C38" s="13" t="s">
        <v>62</v>
      </c>
      <c r="D38" s="9"/>
      <c r="E38" s="55" t="s">
        <v>94</v>
      </c>
      <c r="F38" s="13"/>
      <c r="G38" s="13"/>
      <c r="H38" s="19"/>
      <c r="I38" s="9"/>
      <c r="P38" s="9"/>
      <c r="Q38" s="10"/>
      <c r="R38" s="10"/>
      <c r="S38" s="10"/>
      <c r="T38" s="63"/>
      <c r="W38" s="9"/>
      <c r="X38" s="10"/>
      <c r="Y38" s="10"/>
      <c r="Z38" s="10"/>
      <c r="AA38" s="63"/>
    </row>
    <row r="39" spans="1:9" ht="16.5" customHeight="1">
      <c r="A39" s="19" t="s">
        <v>95</v>
      </c>
      <c r="B39" s="20"/>
      <c r="C39" s="20">
        <f>C34+D58</f>
        <v>63460.54798804799</v>
      </c>
      <c r="E39" s="14" t="s">
        <v>96</v>
      </c>
      <c r="F39" s="14" t="s">
        <v>97</v>
      </c>
      <c r="G39" s="14" t="s">
        <v>98</v>
      </c>
      <c r="H39" s="65" t="s">
        <v>99</v>
      </c>
      <c r="I39" s="65" t="s">
        <v>16</v>
      </c>
    </row>
    <row r="40" spans="1:9" ht="16.5" customHeight="1">
      <c r="A40" s="19" t="s">
        <v>101</v>
      </c>
      <c r="B40" s="20"/>
      <c r="C40" s="20">
        <f>C20</f>
        <v>63456.33312278896</v>
      </c>
      <c r="E40" s="14">
        <v>4</v>
      </c>
      <c r="F40" s="14">
        <v>550</v>
      </c>
      <c r="G40" s="66">
        <f>1418+1500</f>
        <v>2918</v>
      </c>
      <c r="H40" s="67">
        <f>F40-F40/(F40+F41)*0.5*((N35/12)-G40)</f>
        <v>-183.38485427793853</v>
      </c>
      <c r="I40" s="67">
        <f>C27-(B15-H40)*12</f>
        <v>-15020.618251335261</v>
      </c>
    </row>
    <row r="41" spans="1:9" ht="16.5" customHeight="1">
      <c r="A41" s="19" t="s">
        <v>102</v>
      </c>
      <c r="B41" s="20"/>
      <c r="C41" s="20">
        <f>C39-C40</f>
        <v>4.214865259033104</v>
      </c>
      <c r="E41" s="14">
        <v>7</v>
      </c>
      <c r="F41" s="14">
        <v>210</v>
      </c>
      <c r="G41" s="66">
        <f>1418+515</f>
        <v>1933</v>
      </c>
      <c r="H41" s="67">
        <f>F41-F41/(F40+F41)*0.5*((N35/12)-G41)</f>
        <v>-206.10519794918423</v>
      </c>
      <c r="I41" s="67">
        <f>C27-(B15-H41)*12</f>
        <v>-15293.262375390208</v>
      </c>
    </row>
    <row r="42" spans="1:9" ht="16.5" customHeight="1">
      <c r="A42" s="7"/>
      <c r="B42" s="24"/>
      <c r="C42" s="24"/>
      <c r="G42" s="68"/>
      <c r="H42" s="69" t="s">
        <v>103</v>
      </c>
      <c r="I42" s="67">
        <f>C27-(B15-H40-H41)*12</f>
        <v>-17493.880626725473</v>
      </c>
    </row>
    <row r="43" spans="2:11" ht="16.5" customHeight="1">
      <c r="B43" s="25"/>
      <c r="C43" s="25"/>
      <c r="E43" s="25"/>
      <c r="H43" s="25"/>
      <c r="I43" s="25"/>
      <c r="K43" s="25"/>
    </row>
    <row r="44" ht="16.5" customHeight="1">
      <c r="A44" s="70" t="s">
        <v>19</v>
      </c>
    </row>
    <row r="45" ht="16.5" customHeight="1">
      <c r="B45" s="9"/>
    </row>
    <row r="46" spans="1:9" ht="16.5" customHeight="1">
      <c r="A46" s="13"/>
      <c r="B46" s="13" t="s">
        <v>20</v>
      </c>
      <c r="C46" s="13" t="s">
        <v>21</v>
      </c>
      <c r="D46" s="13" t="s">
        <v>79</v>
      </c>
      <c r="E46" s="27"/>
      <c r="F46" s="9"/>
      <c r="G46" s="71"/>
      <c r="H46" s="71"/>
      <c r="I46" s="71"/>
    </row>
    <row r="47" spans="1:14" s="27" customFormat="1" ht="16.5" customHeight="1">
      <c r="A47" s="62" t="s">
        <v>22</v>
      </c>
      <c r="B47" s="62">
        <v>35</v>
      </c>
      <c r="C47" s="72">
        <v>35</v>
      </c>
      <c r="D47" s="62">
        <f>B47+C47</f>
        <v>70</v>
      </c>
      <c r="E47" s="2"/>
      <c r="F47" s="21" t="s">
        <v>17</v>
      </c>
      <c r="G47" s="73"/>
      <c r="H47" s="73"/>
      <c r="I47" s="74"/>
      <c r="K47"/>
      <c r="L47"/>
      <c r="M47"/>
      <c r="N47"/>
    </row>
    <row r="48" spans="1:14" s="2" customFormat="1" ht="16.5" customHeight="1">
      <c r="A48" s="62" t="s">
        <v>24</v>
      </c>
      <c r="B48" s="96">
        <v>19.14</v>
      </c>
      <c r="C48" s="97">
        <f>B48</f>
        <v>19.14</v>
      </c>
      <c r="D48" s="62"/>
      <c r="F48" s="77" t="s">
        <v>20</v>
      </c>
      <c r="G48" s="77"/>
      <c r="H48" s="78" t="s">
        <v>21</v>
      </c>
      <c r="K48"/>
      <c r="L48"/>
      <c r="M48"/>
      <c r="N48"/>
    </row>
    <row r="49" spans="1:14" s="2" customFormat="1" ht="16.5" customHeight="1">
      <c r="A49" s="12"/>
      <c r="B49" s="12"/>
      <c r="C49" s="13"/>
      <c r="D49" s="12"/>
      <c r="E49"/>
      <c r="F49" s="21"/>
      <c r="G49" s="78" t="s">
        <v>25</v>
      </c>
      <c r="H49" s="41"/>
      <c r="I49" s="78" t="s">
        <v>25</v>
      </c>
      <c r="K49" s="27"/>
      <c r="L49" s="27"/>
      <c r="M49" s="27"/>
      <c r="N49" s="27"/>
    </row>
    <row r="50" spans="1:14" ht="16.5" customHeight="1">
      <c r="A50" s="98" t="s">
        <v>26</v>
      </c>
      <c r="B50" s="39">
        <f>B48*B47*52</f>
        <v>34834.799999999996</v>
      </c>
      <c r="C50" s="39">
        <f>C48*C47*52</f>
        <v>34834.799999999996</v>
      </c>
      <c r="D50" s="39">
        <f>B50+C50</f>
        <v>69669.59999999999</v>
      </c>
      <c r="F50" s="79" t="s">
        <v>86</v>
      </c>
      <c r="G50" s="80">
        <v>1200</v>
      </c>
      <c r="H50" s="73" t="s">
        <v>27</v>
      </c>
      <c r="I50" s="81">
        <f>2*2131</f>
        <v>4262</v>
      </c>
      <c r="K50" s="2"/>
      <c r="L50" s="2"/>
      <c r="M50" s="2"/>
      <c r="N50" s="2"/>
    </row>
    <row r="51" spans="1:14" ht="16.5" customHeight="1">
      <c r="A51" s="98" t="s">
        <v>28</v>
      </c>
      <c r="B51" s="39">
        <f>C27-MIN(11000,C15-C33)</f>
        <v>-9800</v>
      </c>
      <c r="C51" s="39"/>
      <c r="D51" s="39"/>
      <c r="F51" s="79" t="s">
        <v>29</v>
      </c>
      <c r="G51" s="81">
        <f>MIN(C15,11000)</f>
        <v>11000</v>
      </c>
      <c r="H51" s="34" t="s">
        <v>18</v>
      </c>
      <c r="I51" s="81">
        <f>110*4+30*8</f>
        <v>680</v>
      </c>
      <c r="J51" s="99"/>
      <c r="K51" s="2"/>
      <c r="L51" s="2"/>
      <c r="M51" s="2"/>
      <c r="N51" s="2"/>
    </row>
    <row r="52" spans="1:9" ht="16.5" customHeight="1">
      <c r="A52" s="98" t="s">
        <v>31</v>
      </c>
      <c r="B52" s="39">
        <f>B50+B51</f>
        <v>25034.799999999996</v>
      </c>
      <c r="C52" s="39">
        <f>C50+C51</f>
        <v>34834.799999999996</v>
      </c>
      <c r="D52" s="39">
        <f aca="true" t="shared" si="0" ref="D52:D59">B52+C52</f>
        <v>59869.59999999999</v>
      </c>
      <c r="F52" s="79" t="s">
        <v>32</v>
      </c>
      <c r="G52" s="83">
        <f>(C16-B52*0.03)</f>
        <v>844.9560000000001</v>
      </c>
      <c r="H52" s="79" t="s">
        <v>33</v>
      </c>
      <c r="I52" s="83">
        <f>(90.4+108.2)*3</f>
        <v>595.8000000000001</v>
      </c>
    </row>
    <row r="53" spans="1:9" ht="16.5" customHeight="1">
      <c r="A53" s="98" t="s">
        <v>34</v>
      </c>
      <c r="B53" s="39">
        <f>B50*0.0178</f>
        <v>620.0594399999999</v>
      </c>
      <c r="C53" s="39">
        <f>C50*0.0178</f>
        <v>620.0594399999999</v>
      </c>
      <c r="D53" s="39">
        <f t="shared" si="0"/>
        <v>1240.1188799999998</v>
      </c>
      <c r="E53" s="101"/>
      <c r="F53" s="79" t="s">
        <v>35</v>
      </c>
      <c r="G53" s="81">
        <f>IF(D52-C27&lt;45888,IF((0.25*(C16-B52*0.03)-0.05*(D52-C27-24108))&gt;0,(0.25*(C16-B52*0.03)-0.05*(D52-C27-24108)),0),0)</f>
        <v>0</v>
      </c>
      <c r="H53" s="79" t="s">
        <v>36</v>
      </c>
      <c r="I53" s="81">
        <f>IF(D52-1200&lt;26764,(MIN(0.21*(D50-4750),1862)-0.17*(D52-1200-15811)),0)</f>
        <v>0</v>
      </c>
    </row>
    <row r="54" spans="1:9" ht="16.5" customHeight="1">
      <c r="A54" s="98" t="s">
        <v>37</v>
      </c>
      <c r="B54" s="39">
        <f>(B50-3500)*0.0495</f>
        <v>1551.0726</v>
      </c>
      <c r="C54" s="39">
        <f>(C50-3500)*0.0495</f>
        <v>1551.0726</v>
      </c>
      <c r="D54" s="39">
        <f t="shared" si="0"/>
        <v>3102.1452</v>
      </c>
      <c r="E54" s="58"/>
      <c r="F54" s="27"/>
      <c r="G54" s="102"/>
      <c r="H54" s="103"/>
      <c r="I54" s="102"/>
    </row>
    <row r="55" spans="1:7" ht="16.5" customHeight="1">
      <c r="A55" s="98" t="s">
        <v>38</v>
      </c>
      <c r="B55" s="39">
        <f>MAX(0,(B52*0.15-(10527+B53+B54+1065+(C16-B52*0.03))*0.15))</f>
        <v>1564.0067939999994</v>
      </c>
      <c r="C55" s="92">
        <f>MAX(0,(C52*0.15-(10527+C53+C54+1065+2131+2131+110*4+30*8+((90.4+108.2)*3+120*8+20*8))*0.15))</f>
        <v>2162.080194</v>
      </c>
      <c r="D55" s="39">
        <f t="shared" si="0"/>
        <v>3726.0869879999996</v>
      </c>
      <c r="E55" s="43" t="s">
        <v>40</v>
      </c>
      <c r="F55" s="35">
        <f>C26+26764</f>
        <v>28861.024</v>
      </c>
      <c r="G55" s="59"/>
    </row>
    <row r="56" spans="1:11" ht="16.5" customHeight="1">
      <c r="A56" s="19" t="s">
        <v>39</v>
      </c>
      <c r="B56" s="20">
        <f>IF(D52-C27&lt;45888,IF((0.25*(C16-B52*0.03)-0.05*(D52-C27-24108))&gt;0,-1*(0.25*(C16-B52*0.03)-0.05*(D52-C27-24108)),0),0)</f>
        <v>0</v>
      </c>
      <c r="C56" s="20">
        <f>IF(D52-C27&lt;26764,-1*(MIN(0.21*(D50-4750),1862)-0.17*(D52-C27-15811)),0)</f>
        <v>0</v>
      </c>
      <c r="D56" s="39">
        <f t="shared" si="0"/>
        <v>0</v>
      </c>
      <c r="E56" s="43" t="s">
        <v>42</v>
      </c>
      <c r="F56" s="35">
        <f>394/0.032+17493</f>
        <v>29805.5</v>
      </c>
      <c r="G56" s="34"/>
      <c r="K56" s="25"/>
    </row>
    <row r="57" spans="1:7" ht="16.5" customHeight="1">
      <c r="A57" s="98" t="s">
        <v>41</v>
      </c>
      <c r="B57" s="39">
        <f>MAX(0,(B52*0.0506-(11088+B53+B54+(C16-B52*0.03))*0.0506)-MAX(0,(394-(B52-17493)*0.032)))</f>
        <v>400.4316251759998</v>
      </c>
      <c r="C57" s="92">
        <f>MAX(0,(C52*0.0506-(11088+C53+C54+((90.4+108.2)*3+60*8))*0.0506)-MAX(0,394-(C52-17493)*0.032))</f>
        <v>1037.2933187759998</v>
      </c>
      <c r="D57" s="39">
        <f t="shared" si="0"/>
        <v>1437.7249439519996</v>
      </c>
      <c r="E57" s="104"/>
      <c r="F57" s="25"/>
      <c r="G57" s="51"/>
    </row>
    <row r="58" spans="1:12" ht="16.5" customHeight="1">
      <c r="A58" s="98" t="s">
        <v>43</v>
      </c>
      <c r="B58" s="39">
        <f>B50-SUM(B53:B57)</f>
        <v>30699.229540823995</v>
      </c>
      <c r="C58" s="39">
        <f>C50-SUM(C53:C57)</f>
        <v>29464.294447223994</v>
      </c>
      <c r="D58" s="39">
        <f t="shared" si="0"/>
        <v>60163.52398804799</v>
      </c>
      <c r="E58" s="68"/>
      <c r="L58" s="105"/>
    </row>
    <row r="59" spans="1:4" ht="16.5" customHeight="1">
      <c r="A59" s="98" t="s">
        <v>44</v>
      </c>
      <c r="B59" s="39">
        <f>B58/12</f>
        <v>2558.2691284019998</v>
      </c>
      <c r="C59" s="39">
        <f>C58/12</f>
        <v>2455.3578706019994</v>
      </c>
      <c r="D59" s="39">
        <f t="shared" si="0"/>
        <v>5013.626999003999</v>
      </c>
    </row>
    <row r="60" spans="1:4" ht="16.5" customHeight="1">
      <c r="A60" s="7"/>
      <c r="B60" s="24"/>
      <c r="C60" s="24"/>
      <c r="D60" s="24"/>
    </row>
    <row r="61" spans="2:11" ht="16.5" customHeight="1">
      <c r="B61" s="25"/>
      <c r="C61" s="25"/>
      <c r="D61" s="25"/>
      <c r="E61" s="6"/>
      <c r="F61" s="6"/>
      <c r="G61" s="70"/>
      <c r="H61" s="70"/>
      <c r="J61" s="25"/>
      <c r="K61" s="25"/>
    </row>
    <row r="62" spans="1:11" s="6" customFormat="1" ht="16.5" customHeight="1">
      <c r="A62" s="6" t="s">
        <v>45</v>
      </c>
      <c r="E62"/>
      <c r="F62"/>
      <c r="G62"/>
      <c r="H62"/>
      <c r="J62" s="25"/>
      <c r="K62" s="25"/>
    </row>
    <row r="63" spans="7:11" ht="16.5" customHeight="1">
      <c r="G63" s="25"/>
      <c r="H63" s="25"/>
      <c r="J63" s="25"/>
      <c r="K63" s="25"/>
    </row>
    <row r="64" spans="1:11" ht="16.5" customHeight="1">
      <c r="A64" t="s">
        <v>46</v>
      </c>
      <c r="D64" s="25">
        <f>D50</f>
        <v>69669.59999999999</v>
      </c>
      <c r="G64" s="25"/>
      <c r="H64" s="25"/>
      <c r="J64" s="25"/>
      <c r="K64" s="25"/>
    </row>
    <row r="65" spans="1:11" ht="16.5" customHeight="1">
      <c r="A65" t="s">
        <v>47</v>
      </c>
      <c r="D65" s="25">
        <f>SUM(B53:B57)+SUM(C53:C57)</f>
        <v>9506.076011952</v>
      </c>
      <c r="G65" s="25"/>
      <c r="H65" s="25"/>
      <c r="J65" s="25"/>
      <c r="K65" s="25"/>
    </row>
    <row r="66" spans="1:11" ht="16.5" customHeight="1">
      <c r="A66" t="s">
        <v>48</v>
      </c>
      <c r="D66" s="25">
        <f>D64-D65</f>
        <v>60163.52398804799</v>
      </c>
      <c r="G66" s="25"/>
      <c r="H66" s="25"/>
      <c r="J66" s="25"/>
      <c r="K66" s="25"/>
    </row>
    <row r="67" spans="1:11" ht="16.5" customHeight="1">
      <c r="A67" s="2" t="s">
        <v>49</v>
      </c>
      <c r="D67" s="25">
        <f>C34</f>
        <v>3297.0240000000003</v>
      </c>
      <c r="G67" s="25"/>
      <c r="H67" s="25"/>
      <c r="J67" s="25"/>
      <c r="K67" s="25"/>
    </row>
    <row r="68" spans="1:11" ht="16.5" customHeight="1">
      <c r="A68" t="s">
        <v>50</v>
      </c>
      <c r="D68" s="25">
        <f>D66+D67</f>
        <v>63460.54798804799</v>
      </c>
      <c r="G68" s="25"/>
      <c r="H68" s="25"/>
      <c r="J68" s="25"/>
      <c r="K68" s="25"/>
    </row>
    <row r="69" spans="1:11" ht="16.5" customHeight="1">
      <c r="A69" t="s">
        <v>51</v>
      </c>
      <c r="D69" s="25">
        <f>C20</f>
        <v>63456.33312278896</v>
      </c>
      <c r="G69" s="25"/>
      <c r="H69" s="25"/>
      <c r="J69" s="25"/>
      <c r="K69" s="25"/>
    </row>
    <row r="70" spans="1:11" ht="16.5" customHeight="1">
      <c r="A70" t="s">
        <v>52</v>
      </c>
      <c r="D70" s="25">
        <f>D68-D69</f>
        <v>4.214865259033104</v>
      </c>
      <c r="G70" s="25"/>
      <c r="H70" s="25"/>
      <c r="J70" s="25"/>
      <c r="K70" s="25"/>
    </row>
    <row r="71" spans="5:11" ht="16.5" customHeight="1">
      <c r="E71" s="6"/>
      <c r="F71" s="6"/>
      <c r="G71" s="70"/>
      <c r="H71" s="70"/>
      <c r="J71" s="25"/>
      <c r="K71" s="25"/>
    </row>
    <row r="72" spans="3:11" ht="16.5" customHeight="1">
      <c r="C72" s="6"/>
      <c r="G72" s="25"/>
      <c r="H72" s="25"/>
      <c r="J72" s="25"/>
      <c r="K72" s="25"/>
    </row>
    <row r="73" spans="2:9" ht="16.5" customHeight="1">
      <c r="B73" s="25"/>
      <c r="E73" s="10"/>
      <c r="F73" s="10"/>
      <c r="G73" s="10"/>
      <c r="H73" s="10"/>
      <c r="I73" s="10"/>
    </row>
    <row r="74" spans="1:4" ht="16.5" customHeight="1">
      <c r="A74" s="10"/>
      <c r="B74" s="27"/>
      <c r="C74" s="27"/>
      <c r="D74" s="27"/>
    </row>
    <row r="75" spans="2:4" ht="16.5" customHeight="1">
      <c r="B75" s="25"/>
      <c r="C75" s="89"/>
      <c r="D75" s="25"/>
    </row>
    <row r="76" spans="1:4" ht="16.5" customHeight="1">
      <c r="A76" s="3"/>
      <c r="B76" s="25"/>
      <c r="C76" s="89"/>
      <c r="D76" s="25"/>
    </row>
    <row r="77" spans="2:3" ht="16.5" customHeight="1">
      <c r="B77" s="25"/>
      <c r="C77" s="90"/>
    </row>
    <row r="78" spans="2:6" ht="16.5" customHeight="1">
      <c r="B78" s="25"/>
      <c r="C78" s="90"/>
      <c r="E78" s="9"/>
      <c r="F78" s="9"/>
    </row>
    <row r="79" spans="2:6" ht="16.5" customHeight="1">
      <c r="B79" s="9"/>
      <c r="C79" s="9"/>
      <c r="D79" s="9"/>
      <c r="E79" s="9"/>
      <c r="F79" s="9"/>
    </row>
    <row r="80" spans="2:6" ht="16.5" customHeight="1">
      <c r="B80" s="9"/>
      <c r="C80" s="9"/>
      <c r="D80" s="9"/>
      <c r="E80" s="9"/>
      <c r="F80" s="9"/>
    </row>
    <row r="81" spans="2:6" ht="16.5" customHeight="1">
      <c r="B81" s="9"/>
      <c r="C81" s="9"/>
      <c r="D81" s="9"/>
      <c r="E81" s="44"/>
      <c r="F81" s="91"/>
    </row>
    <row r="82" spans="4:6" ht="16.5" customHeight="1">
      <c r="D82" s="44"/>
      <c r="E82" s="44"/>
      <c r="F82" s="91"/>
    </row>
    <row r="83" spans="4:6" ht="16.5" customHeight="1">
      <c r="D83" s="44"/>
      <c r="E83" s="44"/>
      <c r="F83" s="91"/>
    </row>
    <row r="84" spans="4:6" ht="16.5" customHeight="1">
      <c r="D84" s="44"/>
      <c r="E84" s="44"/>
      <c r="F84" s="91"/>
    </row>
    <row r="85" ht="16.5" customHeight="1">
      <c r="D85" s="44"/>
    </row>
    <row r="86" ht="16.5" customHeight="1"/>
    <row r="87" spans="5:6" ht="16.5" customHeight="1">
      <c r="E87" s="9"/>
      <c r="F87" s="9"/>
    </row>
    <row r="88" spans="2:6" ht="16.5" customHeight="1">
      <c r="B88" s="9"/>
      <c r="C88" s="9"/>
      <c r="D88" s="9"/>
      <c r="E88" s="9"/>
      <c r="F88" s="9"/>
    </row>
    <row r="89" spans="2:6" ht="16.5" customHeight="1">
      <c r="B89" s="9"/>
      <c r="C89" s="9"/>
      <c r="D89" s="9"/>
      <c r="E89" s="9"/>
      <c r="F89" s="9"/>
    </row>
    <row r="90" spans="2:6" ht="16.5" customHeight="1">
      <c r="B90" s="9"/>
      <c r="C90" s="9"/>
      <c r="D90" s="9"/>
      <c r="E90" s="44"/>
      <c r="F90" s="91"/>
    </row>
    <row r="91" spans="4:6" ht="16.5" customHeight="1">
      <c r="D91" s="44"/>
      <c r="E91" s="44"/>
      <c r="F91" s="91"/>
    </row>
    <row r="92" spans="4:6" ht="16.5" customHeight="1">
      <c r="D92" s="44"/>
      <c r="E92" s="44"/>
      <c r="F92" s="91"/>
    </row>
    <row r="93" spans="4:6" ht="16.5" customHeight="1">
      <c r="D93" s="44"/>
      <c r="E93" s="44"/>
      <c r="F93" s="91"/>
    </row>
    <row r="94" ht="16.5" customHeight="1">
      <c r="D94" s="44"/>
    </row>
    <row r="95" spans="2:3" ht="16.5" customHeight="1">
      <c r="B95" s="25"/>
      <c r="C95" s="89"/>
    </row>
    <row r="96" spans="2:4" ht="16.5" customHeight="1">
      <c r="B96" s="25"/>
      <c r="C96" s="25"/>
      <c r="D96" s="25"/>
    </row>
    <row r="97" spans="2:3" ht="16.5" customHeight="1">
      <c r="B97" s="25"/>
      <c r="C97" s="90"/>
    </row>
    <row r="98" spans="2:6" ht="16.5" customHeight="1">
      <c r="B98" s="25"/>
      <c r="C98" s="90"/>
      <c r="E98" s="9"/>
      <c r="F98" s="9"/>
    </row>
    <row r="99" spans="2:6" ht="16.5" customHeight="1">
      <c r="B99" s="9"/>
      <c r="C99" s="9"/>
      <c r="D99" s="9"/>
      <c r="E99" s="9"/>
      <c r="F99" s="9"/>
    </row>
    <row r="100" spans="2:6" ht="16.5" customHeight="1">
      <c r="B100" s="9"/>
      <c r="C100" s="9"/>
      <c r="D100" s="9"/>
      <c r="E100" s="9"/>
      <c r="F100" s="9"/>
    </row>
    <row r="101" spans="2:6" ht="16.5" customHeight="1">
      <c r="B101" s="9"/>
      <c r="C101" s="9"/>
      <c r="D101" s="9"/>
      <c r="E101" s="44"/>
      <c r="F101" s="91"/>
    </row>
    <row r="102" spans="4:6" ht="16.5" customHeight="1">
      <c r="D102" s="44"/>
      <c r="E102" s="44"/>
      <c r="F102" s="91"/>
    </row>
    <row r="103" spans="4:6" ht="16.5" customHeight="1">
      <c r="D103" s="44"/>
      <c r="E103" s="44"/>
      <c r="F103" s="91"/>
    </row>
    <row r="104" spans="4:6" ht="16.5" customHeight="1">
      <c r="D104" s="44"/>
      <c r="E104" s="44"/>
      <c r="F104" s="91"/>
    </row>
    <row r="105" ht="16.5" customHeight="1">
      <c r="D105" s="44"/>
    </row>
    <row r="106" ht="16.5" customHeight="1"/>
  </sheetData>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'Canadian Centre for Policy Alternatives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Iglika Ivanova</dc:creator>
  <cp:keywords/>
  <dc:description/>
  <cp:lastModifiedBy>Iglika Ivanova</cp:lastModifiedBy>
  <dcterms:created xsi:type="dcterms:W3CDTF">2012-04-25T23:15:56Z</dcterms:created>
  <dcterms:modified xsi:type="dcterms:W3CDTF">2012-04-25T23:52:36Z</dcterms:modified>
  <cp:category/>
  <cp:version/>
  <cp:contentType/>
  <cp:contentStatus/>
</cp:coreProperties>
</file>