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0" yWindow="940" windowWidth="26200" windowHeight="14540" activeTab="0"/>
  </bookViews>
  <sheets>
    <sheet name="First time LW calculation" sheetId="1" r:id="rId1"/>
    <sheet name="Using last year's LW income" sheetId="2" r:id="rId2"/>
  </sheets>
  <definedNames/>
  <calcPr fullCalcOnLoad="1"/>
</workbook>
</file>

<file path=xl/sharedStrings.xml><?xml version="1.0" encoding="utf-8"?>
<sst xmlns="http://schemas.openxmlformats.org/spreadsheetml/2006/main" count="198" uniqueCount="107">
  <si>
    <t>Med. Exp.</t>
  </si>
  <si>
    <t>Tuition Exp.</t>
  </si>
  <si>
    <t>Ref. Med Exp. Supplement</t>
  </si>
  <si>
    <t>WITB</t>
  </si>
  <si>
    <t>Fed. Refundable TC</t>
  </si>
  <si>
    <t xml:space="preserve">      Two Parent, Two Children, Two Income Family</t>
  </si>
  <si>
    <t>Formula</t>
  </si>
  <si>
    <t>Parent 1</t>
  </si>
  <si>
    <t>Parent 2</t>
  </si>
  <si>
    <t>Wage</t>
  </si>
  <si>
    <t>Net Income</t>
  </si>
  <si>
    <t>EI Premiums</t>
  </si>
  <si>
    <t>CPP Premiums</t>
  </si>
  <si>
    <t>Fed. Income Tax</t>
  </si>
  <si>
    <t>Prov. Income Tax</t>
  </si>
  <si>
    <t>After Tax Income</t>
  </si>
  <si>
    <t>EI Premiums</t>
  </si>
  <si>
    <t>Prov. Income Tax</t>
  </si>
  <si>
    <t>After Tax Income</t>
  </si>
  <si>
    <t>Canada CTB</t>
  </si>
  <si>
    <t>Gross annual household income $35,000</t>
  </si>
  <si>
    <t>BCLICATC</t>
  </si>
  <si>
    <t>RAP</t>
  </si>
  <si>
    <t>B51 (Adj.)</t>
  </si>
  <si>
    <t>Fed. Refundable TC</t>
  </si>
  <si>
    <t>Childcare expenses claimed</t>
  </si>
  <si>
    <t>UCCB claimed</t>
  </si>
  <si>
    <t>B51 (Adj.)</t>
  </si>
  <si>
    <t>Employment income</t>
  </si>
  <si>
    <t>Hours / Week</t>
  </si>
  <si>
    <t>Available Annual Income</t>
  </si>
  <si>
    <t>Use BC Housing RAP calculator http://www.bchousing.org/Options/Rental_market/RAP/Calculator</t>
  </si>
  <si>
    <t>Table II:  Non-Wage Income (Government Transfers)</t>
  </si>
  <si>
    <t>Monthly After Tax Inc.</t>
  </si>
  <si>
    <t>Total Annual Income from Employment</t>
  </si>
  <si>
    <t>Equals Family Take Home Pay</t>
  </si>
  <si>
    <t xml:space="preserve">  - Family Expenses</t>
  </si>
  <si>
    <t>Equals Income less expenses</t>
  </si>
  <si>
    <t xml:space="preserve">  - EI, CPP, Fed. and Prov. Taxes</t>
  </si>
  <si>
    <t>Table IIa:  Last Year's Family Income (For Government Transfers)</t>
  </si>
  <si>
    <t xml:space="preserve">                Table IV:  The Living Wage and Government Deductions and Taxes</t>
  </si>
  <si>
    <t xml:space="preserve">        Children ages 4 and 7: 1 child in full-time child care, and 1 child in before and after school care and summer care. Family has a car and bus pass.</t>
  </si>
  <si>
    <t>Formula</t>
  </si>
  <si>
    <t>Division of Income, Expenses, Tax Credits</t>
  </si>
  <si>
    <t>Transit Exp.</t>
  </si>
  <si>
    <t>Table III:  Family Income Less Family Expenses</t>
  </si>
  <si>
    <t>Non MSP Health Ex</t>
  </si>
  <si>
    <t>CC Exp.</t>
  </si>
  <si>
    <t>Child Tax Cr.</t>
  </si>
  <si>
    <t>% of Total</t>
  </si>
  <si>
    <t>Expenses</t>
  </si>
  <si>
    <t>Table I:  Family Expenses</t>
  </si>
  <si>
    <t>BR at FNI</t>
  </si>
  <si>
    <t>$0 at FNI</t>
  </si>
  <si>
    <t>No NCBS at FNI</t>
  </si>
  <si>
    <t>Subtotal</t>
  </si>
  <si>
    <t>CPP Premiums</t>
  </si>
  <si>
    <t>Fed. Income Tax</t>
  </si>
  <si>
    <t>Parent Education</t>
  </si>
  <si>
    <t>% of Pre Tax</t>
  </si>
  <si>
    <t>Employment Income</t>
  </si>
  <si>
    <t>Annual Family Expenses</t>
  </si>
  <si>
    <t>Child</t>
  </si>
  <si>
    <t>CT</t>
  </si>
  <si>
    <t>Max. Subs.</t>
  </si>
  <si>
    <t>Amt of Subs.</t>
  </si>
  <si>
    <t>Provincial Child Care Subsidy Amount</t>
  </si>
  <si>
    <t>Adjustments</t>
  </si>
  <si>
    <t>Net Income</t>
  </si>
  <si>
    <t>Gap</t>
  </si>
  <si>
    <t xml:space="preserve">     Table V:  Family Income less Gov't Deductions and Taxes plus Gov't Transfers</t>
  </si>
  <si>
    <t>Amount</t>
  </si>
  <si>
    <t xml:space="preserve">  + CCTB, UCCB, GST, RAP, BCLICATC</t>
  </si>
  <si>
    <t>Both Subs.</t>
  </si>
  <si>
    <t>Adjustments</t>
  </si>
  <si>
    <t>Item</t>
  </si>
  <si>
    <t>Monthly</t>
  </si>
  <si>
    <t>Annually</t>
  </si>
  <si>
    <t>Child Care</t>
  </si>
  <si>
    <t>Total</t>
  </si>
  <si>
    <t>Income</t>
  </si>
  <si>
    <t>Family Bonus</t>
  </si>
  <si>
    <t>GST</t>
  </si>
  <si>
    <t>Child Care Subs.</t>
  </si>
  <si>
    <t>2 Weeks Pay</t>
  </si>
  <si>
    <t xml:space="preserve">    Food</t>
  </si>
  <si>
    <t xml:space="preserve">    Clothing and Footwear</t>
  </si>
  <si>
    <t xml:space="preserve">    Shelter</t>
  </si>
  <si>
    <t xml:space="preserve">    Other</t>
  </si>
  <si>
    <t xml:space="preserve">    Transportation</t>
  </si>
  <si>
    <t>MSP</t>
  </si>
  <si>
    <t>UCCB</t>
  </si>
  <si>
    <t>Equals Total Disposable Family Income</t>
  </si>
  <si>
    <t>Modified MBM</t>
  </si>
  <si>
    <t>Use BC Housing RAP calculator http://www.bchousing.org/Options/Rental_market/RAP/Calculator</t>
  </si>
  <si>
    <t>=1405*2-(L30+M30-N27-42707)*0.04</t>
  </si>
  <si>
    <t xml:space="preserve">        Children ages 4 and 7: 1 child in full-time child care, and 1 child in before and after school care and summer care. Family has a car and bus pass for one of the parents.</t>
  </si>
  <si>
    <t>Division of Income, Expenses, Tax Credits</t>
  </si>
  <si>
    <t>Transit Exp.</t>
  </si>
  <si>
    <t>Med. Exp.</t>
  </si>
  <si>
    <t>Tuition Exp.</t>
  </si>
  <si>
    <t>Ref. Med Exp. Supplement</t>
  </si>
  <si>
    <t>WITB</t>
  </si>
  <si>
    <t>2013 LW  Incomes</t>
  </si>
  <si>
    <t xml:space="preserve"> Living Wage Calculation: Vancouver - April 2014:  35 hrs/wk + 35 hrs/wk</t>
  </si>
  <si>
    <t>Most of these amounts can be verified with CRA's online calculator http://www.cra-arc.gc.ca/bnfts/clcltr/menu-eng.html</t>
  </si>
  <si>
    <r>
      <t>Note:</t>
    </r>
    <r>
      <rPr>
        <sz val="8"/>
        <rFont val="Arial"/>
        <family val="0"/>
      </rPr>
      <t xml:space="preserve"> Most of these amounts can be verified with CRA's online calculator http://www.cra-arc.gc.ca/bnfts/clcltr/menu-eng.html</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</si>
</sst>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
    <numFmt numFmtId="167" formatCode="0.000000"/>
    <numFmt numFmtId="168" formatCode="0.00000"/>
    <numFmt numFmtId="169" formatCode="0.0000"/>
    <numFmt numFmtId="170" formatCode="0.0"/>
    <numFmt numFmtId="171" formatCode="&quot;$&quot;#,##0"/>
    <numFmt numFmtId="172" formatCode="&quot;$&quot;#,##0.00"/>
    <numFmt numFmtId="173" formatCode="0.00000000000000"/>
  </numFmts>
  <fonts count="44">
    <font>
      <sz val="10"/>
      <name val="Arial"/>
      <family val="0"/>
    </font>
    <font>
      <sz val="8"/>
      <name val="Arial"/>
      <family val="0"/>
    </font>
    <font>
      <u val="single"/>
      <sz val="12.5"/>
      <color indexed="36"/>
      <name val="Arial"/>
      <family val="0"/>
    </font>
    <font>
      <u val="single"/>
      <sz val="12.5"/>
      <color indexed="12"/>
      <name val="Arial"/>
      <family val="0"/>
    </font>
    <font>
      <sz val="14"/>
      <name val="Arial"/>
      <family val="2"/>
    </font>
    <font>
      <sz val="12"/>
      <name val="Arial"/>
      <family val="2"/>
    </font>
    <font>
      <b/>
      <sz val="12"/>
      <name val="Arial"/>
      <family val="2"/>
    </font>
    <font>
      <b/>
      <sz val="10"/>
      <name val="Arial"/>
      <family val="2"/>
    </font>
    <font>
      <b/>
      <sz val="8"/>
      <name val="Arial"/>
      <family val="2"/>
    </font>
    <font>
      <sz val="8"/>
      <name val="Verdana"/>
      <family val="0"/>
    </font>
    <font>
      <sz val="10"/>
      <name val="Verdana"/>
      <family val="0"/>
    </font>
    <font>
      <b/>
      <sz val="10"/>
      <name val="Verdana"/>
      <family val="0"/>
    </font>
    <font>
      <b/>
      <sz val="8"/>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Verdana"/>
      <family val="0"/>
    </font>
    <font>
      <sz val="10"/>
      <color indexed="10"/>
      <name val="Verdana"/>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5"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1">
    <xf numFmtId="0" fontId="0" fillId="0" borderId="0" xfId="0" applyAlignment="1">
      <alignment/>
    </xf>
    <xf numFmtId="0" fontId="4" fillId="0" borderId="0" xfId="0" applyFont="1" applyAlignment="1">
      <alignment/>
    </xf>
    <xf numFmtId="0" fontId="5" fillId="0" borderId="0" xfId="0" applyFont="1" applyAlignment="1">
      <alignment/>
    </xf>
    <xf numFmtId="17" fontId="6" fillId="0" borderId="0" xfId="0" applyNumberFormat="1" applyFont="1" applyAlignment="1">
      <alignment horizontal="right"/>
    </xf>
    <xf numFmtId="0" fontId="6" fillId="0" borderId="0" xfId="0" applyFont="1" applyAlignment="1">
      <alignment horizontal="left"/>
    </xf>
    <xf numFmtId="0" fontId="6" fillId="0" borderId="0" xfId="0" applyFont="1" applyAlignment="1">
      <alignment/>
    </xf>
    <xf numFmtId="0" fontId="0" fillId="0" borderId="0" xfId="0" applyBorder="1" applyAlignment="1">
      <alignment/>
    </xf>
    <xf numFmtId="0" fontId="7"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0" fontId="7" fillId="0" borderId="10" xfId="0" applyFont="1" applyBorder="1" applyAlignment="1">
      <alignment/>
    </xf>
    <xf numFmtId="0" fontId="7" fillId="0" borderId="10" xfId="0" applyFont="1" applyBorder="1" applyAlignment="1">
      <alignment horizontal="center"/>
    </xf>
    <xf numFmtId="0" fontId="8" fillId="0" borderId="10" xfId="0" applyFont="1" applyBorder="1" applyAlignment="1">
      <alignment horizontal="center"/>
    </xf>
    <xf numFmtId="0" fontId="0" fillId="0" borderId="0" xfId="0" applyAlignment="1">
      <alignment horizontal="center"/>
    </xf>
    <xf numFmtId="0" fontId="0" fillId="0" borderId="10" xfId="0" applyBorder="1" applyAlignment="1">
      <alignment/>
    </xf>
    <xf numFmtId="2" fontId="0" fillId="0" borderId="10" xfId="0" applyNumberFormat="1" applyBorder="1" applyAlignment="1">
      <alignment/>
    </xf>
    <xf numFmtId="0" fontId="8" fillId="0" borderId="10" xfId="0" applyFont="1" applyBorder="1" applyAlignment="1">
      <alignment/>
    </xf>
    <xf numFmtId="2" fontId="0" fillId="0" borderId="0" xfId="0" applyNumberFormat="1" applyBorder="1" applyAlignment="1">
      <alignment/>
    </xf>
    <xf numFmtId="2" fontId="0" fillId="0" borderId="0" xfId="0" applyNumberFormat="1" applyAlignment="1">
      <alignment/>
    </xf>
    <xf numFmtId="164" fontId="1" fillId="0" borderId="10" xfId="59" applyNumberFormat="1" applyFont="1" applyBorder="1" applyAlignment="1">
      <alignment horizontal="center"/>
    </xf>
    <xf numFmtId="2" fontId="8" fillId="0" borderId="0" xfId="0" applyNumberFormat="1" applyFont="1" applyBorder="1" applyAlignment="1">
      <alignment horizontal="left"/>
    </xf>
    <xf numFmtId="2" fontId="8" fillId="0" borderId="0" xfId="0" applyNumberFormat="1" applyFont="1" applyAlignment="1">
      <alignment/>
    </xf>
    <xf numFmtId="164" fontId="0" fillId="0" borderId="0" xfId="0" applyNumberFormat="1" applyAlignment="1">
      <alignment/>
    </xf>
    <xf numFmtId="2" fontId="1" fillId="0" borderId="0" xfId="0" applyNumberFormat="1" applyFont="1" applyAlignment="1">
      <alignment/>
    </xf>
    <xf numFmtId="2" fontId="1" fillId="0" borderId="0" xfId="0" applyNumberFormat="1" applyFont="1" applyBorder="1" applyAlignment="1">
      <alignment/>
    </xf>
    <xf numFmtId="2" fontId="8" fillId="0" borderId="0" xfId="0" applyNumberFormat="1" applyFont="1" applyBorder="1" applyAlignment="1">
      <alignment/>
    </xf>
    <xf numFmtId="2" fontId="8" fillId="0" borderId="10" xfId="0" applyNumberFormat="1" applyFont="1" applyBorder="1" applyAlignment="1">
      <alignment/>
    </xf>
    <xf numFmtId="164" fontId="8" fillId="0" borderId="10" xfId="59" applyNumberFormat="1" applyFont="1" applyBorder="1" applyAlignment="1">
      <alignment horizontal="center"/>
    </xf>
    <xf numFmtId="0" fontId="8" fillId="0" borderId="0" xfId="0" applyFont="1" applyAlignment="1">
      <alignment/>
    </xf>
    <xf numFmtId="1" fontId="0" fillId="0" borderId="0" xfId="0" applyNumberFormat="1" applyAlignment="1">
      <alignment/>
    </xf>
    <xf numFmtId="0" fontId="7" fillId="0" borderId="10" xfId="0" applyFont="1" applyBorder="1" applyAlignment="1">
      <alignment horizontal="left"/>
    </xf>
    <xf numFmtId="0" fontId="8" fillId="0" borderId="0" xfId="0" applyFont="1" applyAlignment="1">
      <alignment horizontal="center"/>
    </xf>
    <xf numFmtId="0" fontId="8" fillId="0" borderId="0" xfId="0" applyFont="1" applyAlignment="1">
      <alignment horizontal="left"/>
    </xf>
    <xf numFmtId="0" fontId="1" fillId="0" borderId="0" xfId="0" applyFont="1" applyAlignment="1">
      <alignment/>
    </xf>
    <xf numFmtId="2" fontId="7" fillId="0" borderId="0" xfId="0" applyNumberFormat="1" applyFont="1" applyAlignment="1">
      <alignment/>
    </xf>
    <xf numFmtId="0" fontId="6" fillId="0" borderId="10" xfId="0" applyFont="1" applyBorder="1" applyAlignment="1">
      <alignment horizontal="center"/>
    </xf>
    <xf numFmtId="2" fontId="6" fillId="0" borderId="0" xfId="0" applyNumberFormat="1" applyFont="1" applyAlignment="1">
      <alignment/>
    </xf>
    <xf numFmtId="2" fontId="7" fillId="0" borderId="0" xfId="0" applyNumberFormat="1" applyFont="1" applyAlignment="1">
      <alignment horizontal="center"/>
    </xf>
    <xf numFmtId="4" fontId="0" fillId="0" borderId="0" xfId="0" applyNumberFormat="1" applyAlignment="1">
      <alignment/>
    </xf>
    <xf numFmtId="4" fontId="7" fillId="0" borderId="0" xfId="0" applyNumberFormat="1" applyFont="1" applyAlignment="1">
      <alignment/>
    </xf>
    <xf numFmtId="164" fontId="0" fillId="0" borderId="0" xfId="59" applyNumberFormat="1" applyFont="1" applyAlignment="1">
      <alignment/>
    </xf>
    <xf numFmtId="9" fontId="0" fillId="0" borderId="0" xfId="59" applyNumberFormat="1" applyFont="1" applyAlignment="1">
      <alignment/>
    </xf>
    <xf numFmtId="2" fontId="8" fillId="0" borderId="10" xfId="0" applyNumberFormat="1" applyFont="1" applyBorder="1" applyAlignment="1">
      <alignment horizontal="center"/>
    </xf>
    <xf numFmtId="0" fontId="0" fillId="0" borderId="0" xfId="0" applyFont="1" applyAlignment="1">
      <alignment/>
    </xf>
    <xf numFmtId="2" fontId="1" fillId="0" borderId="0" xfId="0" applyNumberFormat="1" applyFont="1" applyBorder="1" applyAlignment="1">
      <alignment horizontal="right"/>
    </xf>
    <xf numFmtId="164" fontId="1" fillId="0" borderId="10" xfId="59" applyNumberFormat="1" applyFont="1" applyBorder="1" applyAlignment="1">
      <alignment horizontal="center"/>
    </xf>
    <xf numFmtId="2" fontId="0" fillId="0" borderId="0" xfId="0" applyNumberFormat="1" applyFont="1" applyAlignment="1">
      <alignment/>
    </xf>
    <xf numFmtId="0" fontId="0" fillId="0" borderId="0" xfId="0" applyFont="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right"/>
    </xf>
    <xf numFmtId="0" fontId="1" fillId="0" borderId="0" xfId="0" applyFont="1" applyBorder="1" applyAlignment="1">
      <alignment horizontal="right"/>
    </xf>
    <xf numFmtId="165" fontId="1" fillId="0" borderId="0" xfId="0" applyNumberFormat="1" applyFont="1" applyBorder="1" applyAlignment="1">
      <alignment horizontal="right"/>
    </xf>
    <xf numFmtId="0" fontId="0" fillId="0" borderId="0" xfId="0" applyAlignment="1">
      <alignment horizontal="left"/>
    </xf>
    <xf numFmtId="0" fontId="7" fillId="0" borderId="0" xfId="0" applyFont="1" applyAlignment="1">
      <alignment horizontal="left"/>
    </xf>
    <xf numFmtId="0" fontId="1" fillId="0" borderId="0" xfId="0" applyFont="1" applyAlignment="1">
      <alignment horizontal="right"/>
    </xf>
    <xf numFmtId="2" fontId="1" fillId="0" borderId="0" xfId="0" applyNumberFormat="1" applyFont="1" applyBorder="1" applyAlignment="1">
      <alignment/>
    </xf>
    <xf numFmtId="169" fontId="1" fillId="0" borderId="0" xfId="0" applyNumberFormat="1" applyFont="1" applyAlignment="1">
      <alignment/>
    </xf>
    <xf numFmtId="164" fontId="7" fillId="0" borderId="0" xfId="59" applyNumberFormat="1" applyFont="1" applyAlignment="1">
      <alignment/>
    </xf>
    <xf numFmtId="164" fontId="7" fillId="0" borderId="0" xfId="0" applyNumberFormat="1" applyFont="1" applyAlignment="1">
      <alignment/>
    </xf>
    <xf numFmtId="0" fontId="8" fillId="0" borderId="10" xfId="0" applyFont="1" applyFill="1" applyBorder="1" applyAlignment="1">
      <alignment horizontal="center"/>
    </xf>
    <xf numFmtId="0" fontId="0" fillId="0" borderId="0" xfId="0" applyFill="1" applyAlignment="1">
      <alignment/>
    </xf>
    <xf numFmtId="2" fontId="8" fillId="0" borderId="10" xfId="0" applyNumberFormat="1" applyFont="1" applyFill="1" applyBorder="1" applyAlignment="1">
      <alignment horizontal="center"/>
    </xf>
    <xf numFmtId="2" fontId="8" fillId="0" borderId="10" xfId="0" applyNumberFormat="1" applyFont="1" applyFill="1" applyBorder="1" applyAlignment="1">
      <alignment/>
    </xf>
    <xf numFmtId="165" fontId="1" fillId="0" borderId="0" xfId="0" applyNumberFormat="1" applyFont="1" applyAlignment="1">
      <alignment horizontal="right"/>
    </xf>
    <xf numFmtId="2" fontId="0" fillId="0" borderId="0" xfId="0" applyNumberFormat="1" applyBorder="1" applyAlignment="1">
      <alignment horizontal="center"/>
    </xf>
    <xf numFmtId="2" fontId="0" fillId="0" borderId="0" xfId="0" applyNumberFormat="1" applyFont="1" applyBorder="1" applyAlignment="1">
      <alignment/>
    </xf>
    <xf numFmtId="2" fontId="8" fillId="0" borderId="0" xfId="0" applyNumberFormat="1" applyFont="1" applyBorder="1" applyAlignment="1" quotePrefix="1">
      <alignment/>
    </xf>
    <xf numFmtId="0" fontId="0" fillId="0" borderId="0" xfId="0" applyAlignment="1" quotePrefix="1">
      <alignment/>
    </xf>
    <xf numFmtId="0" fontId="0" fillId="0" borderId="0" xfId="0" applyFont="1" applyAlignment="1">
      <alignment/>
    </xf>
    <xf numFmtId="0" fontId="1" fillId="0" borderId="0" xfId="0" applyFont="1" applyBorder="1" applyAlignment="1">
      <alignment horizontal="left"/>
    </xf>
    <xf numFmtId="2" fontId="1" fillId="0" borderId="0" xfId="0" applyNumberFormat="1" applyFont="1" applyBorder="1" applyAlignment="1">
      <alignment horizontal="right"/>
    </xf>
    <xf numFmtId="0" fontId="1" fillId="0" borderId="0" xfId="0" applyFont="1" applyBorder="1" applyAlignment="1">
      <alignment horizontal="right"/>
    </xf>
    <xf numFmtId="2" fontId="1" fillId="0" borderId="0" xfId="0" applyNumberFormat="1" applyFont="1" applyBorder="1" applyAlignment="1">
      <alignment horizontal="left"/>
    </xf>
    <xf numFmtId="165" fontId="1" fillId="0" borderId="0" xfId="0" applyNumberFormat="1" applyFont="1" applyBorder="1" applyAlignment="1">
      <alignment horizontal="right"/>
    </xf>
    <xf numFmtId="164" fontId="0" fillId="0" borderId="0" xfId="59" applyNumberFormat="1" applyFont="1" applyBorder="1" applyAlignment="1">
      <alignment/>
    </xf>
    <xf numFmtId="0" fontId="0" fillId="0" borderId="0" xfId="0" applyFont="1" applyAlignment="1">
      <alignment horizontal="center"/>
    </xf>
    <xf numFmtId="2" fontId="0" fillId="0" borderId="0" xfId="0" applyNumberFormat="1" applyAlignment="1" quotePrefix="1">
      <alignment/>
    </xf>
    <xf numFmtId="0" fontId="1" fillId="0" borderId="0" xfId="0" applyFont="1" applyAlignment="1">
      <alignment horizontal="right"/>
    </xf>
    <xf numFmtId="2" fontId="1" fillId="0" borderId="10" xfId="0" applyNumberFormat="1" applyFont="1" applyBorder="1" applyAlignment="1">
      <alignment/>
    </xf>
    <xf numFmtId="2" fontId="0" fillId="0" borderId="0" xfId="0" applyNumberFormat="1" applyFont="1" applyAlignment="1">
      <alignment/>
    </xf>
    <xf numFmtId="0" fontId="1" fillId="0" borderId="10" xfId="0" applyFont="1" applyBorder="1" applyAlignment="1">
      <alignment horizontal="center"/>
    </xf>
    <xf numFmtId="2" fontId="1" fillId="0" borderId="10" xfId="0" applyNumberFormat="1" applyFont="1" applyBorder="1" applyAlignment="1">
      <alignment horizontal="center"/>
    </xf>
    <xf numFmtId="0" fontId="1" fillId="0" borderId="10" xfId="0" applyFont="1" applyBorder="1" applyAlignment="1">
      <alignment/>
    </xf>
    <xf numFmtId="2" fontId="0" fillId="0" borderId="0" xfId="0" applyNumberFormat="1" applyBorder="1" applyAlignment="1" quotePrefix="1">
      <alignment/>
    </xf>
    <xf numFmtId="169" fontId="1" fillId="0" borderId="0" xfId="0" applyNumberFormat="1" applyFont="1" applyAlignment="1">
      <alignment/>
    </xf>
    <xf numFmtId="165" fontId="1" fillId="0" borderId="0" xfId="0" applyNumberFormat="1" applyFont="1" applyBorder="1" applyAlignment="1">
      <alignment horizontal="left"/>
    </xf>
    <xf numFmtId="2" fontId="8" fillId="0" borderId="0" xfId="0" applyNumberFormat="1" applyFont="1" applyBorder="1" applyAlignment="1" quotePrefix="1">
      <alignment horizontal="center"/>
    </xf>
    <xf numFmtId="0" fontId="1" fillId="0" borderId="0" xfId="0" applyFont="1" applyAlignment="1" quotePrefix="1">
      <alignment horizontal="left"/>
    </xf>
    <xf numFmtId="0" fontId="8" fillId="0" borderId="0" xfId="0" applyFont="1" applyAlignment="1" quotePrefix="1">
      <alignment horizontal="center"/>
    </xf>
    <xf numFmtId="6" fontId="1" fillId="0" borderId="10" xfId="0" applyNumberFormat="1" applyFont="1" applyBorder="1" applyAlignment="1">
      <alignment/>
    </xf>
    <xf numFmtId="171" fontId="1" fillId="0" borderId="10" xfId="0" applyNumberFormat="1" applyFont="1" applyBorder="1" applyAlignment="1">
      <alignment/>
    </xf>
    <xf numFmtId="172" fontId="1" fillId="0" borderId="10" xfId="0" applyNumberFormat="1" applyFont="1" applyBorder="1" applyAlignment="1">
      <alignment/>
    </xf>
    <xf numFmtId="0" fontId="0" fillId="0" borderId="0" xfId="0" applyBorder="1" applyAlignment="1">
      <alignment horizontal="center"/>
    </xf>
    <xf numFmtId="171" fontId="1" fillId="0" borderId="0" xfId="0" applyNumberFormat="1" applyFont="1" applyBorder="1" applyAlignment="1">
      <alignment/>
    </xf>
    <xf numFmtId="0" fontId="1" fillId="0" borderId="0" xfId="0" applyFont="1" applyBorder="1" applyAlignment="1">
      <alignment/>
    </xf>
    <xf numFmtId="0" fontId="0" fillId="0" borderId="0" xfId="0" applyFont="1" applyAlignment="1" quotePrefix="1">
      <alignment/>
    </xf>
    <xf numFmtId="0" fontId="0" fillId="0" borderId="0" xfId="0" applyFill="1" applyBorder="1" applyAlignment="1" quotePrefix="1">
      <alignment/>
    </xf>
    <xf numFmtId="2" fontId="1" fillId="0" borderId="0" xfId="0" applyNumberFormat="1" applyFont="1" applyBorder="1" applyAlignment="1" quotePrefix="1">
      <alignment/>
    </xf>
    <xf numFmtId="2" fontId="1" fillId="0" borderId="0" xfId="0" applyNumberFormat="1" applyFont="1" applyAlignment="1" quotePrefix="1">
      <alignment/>
    </xf>
    <xf numFmtId="0" fontId="10" fillId="0" borderId="0" xfId="0" applyFont="1" applyAlignment="1">
      <alignment/>
    </xf>
    <xf numFmtId="17" fontId="11" fillId="0" borderId="0" xfId="0" applyNumberFormat="1" applyFont="1" applyAlignment="1">
      <alignment horizontal="right"/>
    </xf>
    <xf numFmtId="0" fontId="11" fillId="0" borderId="0" xfId="0" applyFont="1" applyAlignment="1">
      <alignment horizontal="left"/>
    </xf>
    <xf numFmtId="0" fontId="10" fillId="0" borderId="10" xfId="0" applyFont="1" applyBorder="1" applyAlignment="1">
      <alignment/>
    </xf>
    <xf numFmtId="0" fontId="12" fillId="0" borderId="10" xfId="0" applyFont="1" applyBorder="1" applyAlignment="1">
      <alignment/>
    </xf>
    <xf numFmtId="2" fontId="10" fillId="0" borderId="10" xfId="0" applyNumberFormat="1" applyFont="1" applyBorder="1" applyAlignment="1">
      <alignment/>
    </xf>
    <xf numFmtId="2" fontId="12" fillId="0" borderId="10" xfId="0" applyNumberFormat="1" applyFont="1" applyBorder="1" applyAlignment="1">
      <alignment/>
    </xf>
    <xf numFmtId="2" fontId="10" fillId="30" borderId="10" xfId="0" applyNumberFormat="1" applyFont="1" applyFill="1" applyBorder="1" applyAlignment="1">
      <alignment/>
    </xf>
    <xf numFmtId="0" fontId="10" fillId="0" borderId="10" xfId="0" applyFont="1" applyBorder="1" applyAlignment="1">
      <alignment horizontal="right"/>
    </xf>
    <xf numFmtId="0" fontId="11" fillId="0" borderId="10" xfId="0" applyFont="1" applyBorder="1" applyAlignment="1">
      <alignment/>
    </xf>
    <xf numFmtId="0" fontId="11" fillId="0" borderId="10" xfId="0" applyFont="1" applyBorder="1" applyAlignment="1">
      <alignment horizontal="center"/>
    </xf>
    <xf numFmtId="2" fontId="10" fillId="0" borderId="10" xfId="0" applyNumberFormat="1" applyFont="1" applyFill="1" applyBorder="1" applyAlignment="1">
      <alignment/>
    </xf>
    <xf numFmtId="2" fontId="10" fillId="0" borderId="0" xfId="0" applyNumberFormat="1" applyFont="1" applyAlignment="1">
      <alignment/>
    </xf>
    <xf numFmtId="2" fontId="11" fillId="0" borderId="10" xfId="0" applyNumberFormat="1" applyFont="1" applyFill="1" applyBorder="1" applyAlignment="1">
      <alignment/>
    </xf>
    <xf numFmtId="2" fontId="10" fillId="0" borderId="10" xfId="0" applyNumberFormat="1" applyFont="1" applyFill="1" applyBorder="1" applyAlignment="1">
      <alignment horizontal="right"/>
    </xf>
    <xf numFmtId="2" fontId="10" fillId="0" borderId="0" xfId="0" applyNumberFormat="1" applyFont="1" applyBorder="1" applyAlignment="1">
      <alignment/>
    </xf>
    <xf numFmtId="0" fontId="10" fillId="31" borderId="10" xfId="0" applyFont="1" applyFill="1" applyBorder="1" applyAlignment="1">
      <alignment/>
    </xf>
    <xf numFmtId="0" fontId="10" fillId="0" borderId="10" xfId="0" applyFont="1" applyFill="1" applyBorder="1" applyAlignment="1">
      <alignment/>
    </xf>
    <xf numFmtId="2" fontId="10" fillId="30" borderId="10" xfId="0" applyNumberFormat="1" applyFont="1" applyFill="1" applyBorder="1" applyAlignment="1">
      <alignment/>
    </xf>
    <xf numFmtId="0" fontId="7" fillId="0" borderId="10" xfId="0" applyFont="1" applyFill="1" applyBorder="1" applyAlignment="1">
      <alignment horizontal="left"/>
    </xf>
    <xf numFmtId="0" fontId="7" fillId="0" borderId="10" xfId="0" applyFont="1" applyFill="1" applyBorder="1" applyAlignment="1">
      <alignment horizontal="center"/>
    </xf>
    <xf numFmtId="165" fontId="1" fillId="0" borderId="0" xfId="0" applyNumberFormat="1" applyFont="1" applyFill="1" applyAlignment="1">
      <alignment horizontal="right"/>
    </xf>
    <xf numFmtId="0" fontId="1" fillId="0" borderId="0" xfId="0" applyFont="1" applyFill="1" applyAlignment="1">
      <alignment horizontal="right"/>
    </xf>
    <xf numFmtId="2" fontId="6" fillId="0" borderId="0" xfId="0" applyNumberFormat="1" applyFont="1" applyFill="1" applyAlignment="1">
      <alignment/>
    </xf>
    <xf numFmtId="0" fontId="7" fillId="0" borderId="0" xfId="0" applyFont="1" applyFill="1" applyAlignment="1">
      <alignment horizontal="center"/>
    </xf>
    <xf numFmtId="0" fontId="0" fillId="0" borderId="0" xfId="0" applyFill="1" applyAlignment="1">
      <alignment horizontal="center"/>
    </xf>
    <xf numFmtId="0" fontId="10" fillId="0" borderId="10" xfId="0" applyFont="1" applyFill="1" applyBorder="1" applyAlignment="1">
      <alignment horizontal="right"/>
    </xf>
    <xf numFmtId="0" fontId="0" fillId="0" borderId="0" xfId="0" applyFont="1" applyFill="1" applyAlignment="1">
      <alignment/>
    </xf>
    <xf numFmtId="0" fontId="8" fillId="0" borderId="10" xfId="0" applyFont="1" applyFill="1" applyBorder="1" applyAlignment="1">
      <alignment/>
    </xf>
    <xf numFmtId="0" fontId="1" fillId="0" borderId="10" xfId="0" applyFont="1" applyFill="1" applyBorder="1" applyAlignment="1">
      <alignment horizontal="center"/>
    </xf>
    <xf numFmtId="0" fontId="11" fillId="0" borderId="10" xfId="0" applyFont="1" applyFill="1" applyBorder="1" applyAlignment="1">
      <alignment/>
    </xf>
    <xf numFmtId="0" fontId="11" fillId="0" borderId="10" xfId="0" applyFont="1" applyFill="1" applyBorder="1" applyAlignment="1">
      <alignment horizontal="center"/>
    </xf>
    <xf numFmtId="0" fontId="1" fillId="0" borderId="10" xfId="0" applyFont="1" applyFill="1" applyBorder="1" applyAlignment="1">
      <alignment/>
    </xf>
    <xf numFmtId="0" fontId="8" fillId="0" borderId="0" xfId="0" applyFont="1" applyFill="1" applyAlignment="1">
      <alignment/>
    </xf>
    <xf numFmtId="2" fontId="1" fillId="0" borderId="0" xfId="0" applyNumberFormat="1" applyFont="1" applyFill="1" applyAlignment="1">
      <alignment/>
    </xf>
    <xf numFmtId="2" fontId="0" fillId="0" borderId="0" xfId="0" applyNumberFormat="1" applyFill="1" applyAlignment="1">
      <alignment/>
    </xf>
    <xf numFmtId="0" fontId="0" fillId="0" borderId="0" xfId="0" applyFill="1" applyBorder="1" applyAlignment="1">
      <alignment/>
    </xf>
    <xf numFmtId="2" fontId="0" fillId="0" borderId="0" xfId="0" applyNumberFormat="1" applyFill="1" applyBorder="1" applyAlignment="1">
      <alignment/>
    </xf>
    <xf numFmtId="0" fontId="6" fillId="0" borderId="0" xfId="0" applyFont="1" applyFill="1" applyAlignment="1">
      <alignment/>
    </xf>
    <xf numFmtId="0" fontId="10" fillId="0" borderId="0" xfId="0" applyFont="1" applyFill="1" applyAlignment="1">
      <alignment/>
    </xf>
    <xf numFmtId="2" fontId="10" fillId="0" borderId="0" xfId="0" applyNumberFormat="1" applyFont="1" applyFill="1" applyAlignment="1">
      <alignment/>
    </xf>
    <xf numFmtId="2" fontId="0" fillId="0" borderId="0" xfId="0" applyNumberForma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828675</xdr:colOff>
      <xdr:row>20</xdr:row>
      <xdr:rowOff>85725</xdr:rowOff>
    </xdr:to>
    <xdr:sp>
      <xdr:nvSpPr>
        <xdr:cNvPr id="1" name="TextBox 2"/>
        <xdr:cNvSpPr txBox="1">
          <a:spLocks noChangeArrowheads="1"/>
        </xdr:cNvSpPr>
      </xdr:nvSpPr>
      <xdr:spPr>
        <a:xfrm>
          <a:off x="5762625" y="1257300"/>
          <a:ext cx="6629400"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Notes: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previously calculated, use last year's living wage family income to determine the government transfers and subsidies that the family will be eligible for. This is how government transfers are calculated in practice, and this method was used for the Vancouver 2014 Living Wage Update. Use this spreadsheet tab for your calculation and enter last year's family income in Table IIa. This spreadsheet includes family expenses for Vancouver and the highlighted cells must be updated to reflect the actual costs in your municipality.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this is the first time the living wage is being calculated for your municipality, use the other tab in this spreadsheet, titled "First time LW calculation," which determines the government transfers for the family using this year's income.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Either way, remember to update the Federal &amp; Provincial income tax formulas for Parent 2 (Table IV) with the actual costs of public transit and tuition fees so that the transit and education tax credits are accurate.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4</xdr:row>
      <xdr:rowOff>57150</xdr:rowOff>
    </xdr:from>
    <xdr:to>
      <xdr:col>12</xdr:col>
      <xdr:colOff>695325</xdr:colOff>
      <xdr:row>18</xdr:row>
      <xdr:rowOff>114300</xdr:rowOff>
    </xdr:to>
    <xdr:sp>
      <xdr:nvSpPr>
        <xdr:cNvPr id="1" name="TextBox 2"/>
        <xdr:cNvSpPr txBox="1">
          <a:spLocks noChangeArrowheads="1"/>
        </xdr:cNvSpPr>
      </xdr:nvSpPr>
      <xdr:spPr>
        <a:xfrm>
          <a:off x="5829300" y="895350"/>
          <a:ext cx="6143625" cy="2990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Notes: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previously calculated, use last year's living wage family income to determine the government transfers and subsidies that the family will be eligible for. This is how government transfers are calculated in practice, and this method was used for the Vancouver 2014 Living Wage Update. Use this spreadsheet tab for your calculation and enter last year's family income in Table IIa. This spreadsheet includes family expenses for Vancouver and the highlighted cells must be updated to reflect the actual costs in your municipality.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this is the first time the living wage is being calculated for your municipality, use the other tab in this spreadsheet, titled "First time LW calculation," which determines the government transfers for the family using this year's income.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Either way, remember to update the Federal &amp; Provincial income tax formulas for Parent 2 (Table IV) with the actual costs of public transit and tuition fees so that the transit and education tax credits are accurate.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14"/>
  <sheetViews>
    <sheetView tabSelected="1" workbookViewId="0" topLeftCell="A7">
      <selection activeCell="F42" sqref="F42"/>
    </sheetView>
  </sheetViews>
  <sheetFormatPr defaultColWidth="12.57421875" defaultRowHeight="16.5" customHeight="1"/>
  <cols>
    <col min="1" max="1" width="24.28125" style="0" customWidth="1"/>
    <col min="2" max="16384" width="12.421875" style="0" customWidth="1"/>
  </cols>
  <sheetData>
    <row r="1" spans="1:9" ht="16.5" customHeight="1">
      <c r="A1" s="1" t="s">
        <v>104</v>
      </c>
      <c r="B1" s="1"/>
      <c r="C1" s="68"/>
      <c r="D1" s="68"/>
      <c r="E1" s="68"/>
      <c r="F1" s="68"/>
      <c r="G1" s="68"/>
      <c r="H1" s="68"/>
      <c r="I1" s="68"/>
    </row>
    <row r="2" spans="2:5" s="2" customFormat="1" ht="16.5" customHeight="1">
      <c r="B2" s="2" t="s">
        <v>5</v>
      </c>
      <c r="D2" s="3"/>
      <c r="E2" s="4"/>
    </row>
    <row r="3" spans="1:10" ht="16.5" customHeight="1">
      <c r="A3" s="68" t="s">
        <v>41</v>
      </c>
      <c r="C3" s="2"/>
      <c r="D3" s="3"/>
      <c r="E3" s="4"/>
      <c r="F3" s="2"/>
      <c r="G3" s="2"/>
      <c r="H3" s="2"/>
      <c r="I3" s="2"/>
      <c r="J3" s="2"/>
    </row>
    <row r="4" spans="1:10" ht="16.5" customHeight="1">
      <c r="A4" s="2"/>
      <c r="B4" s="68"/>
      <c r="C4" s="2"/>
      <c r="D4" s="3"/>
      <c r="E4" s="4"/>
      <c r="F4" s="2"/>
      <c r="G4" s="2"/>
      <c r="H4" s="2"/>
      <c r="I4" s="2"/>
      <c r="J4" s="2"/>
    </row>
    <row r="5" ht="16.5" customHeight="1">
      <c r="B5" s="5" t="s">
        <v>51</v>
      </c>
    </row>
    <row r="6" spans="3:19" ht="16.5" customHeight="1">
      <c r="C6" s="5"/>
      <c r="E6" s="6"/>
      <c r="F6" s="6"/>
      <c r="G6" s="6"/>
      <c r="H6" s="6"/>
      <c r="I6" s="6"/>
      <c r="J6" s="7"/>
      <c r="L6" s="8"/>
      <c r="M6" s="9"/>
      <c r="N6" s="9"/>
      <c r="O6" s="9"/>
      <c r="P6" s="9"/>
      <c r="Q6" s="9"/>
      <c r="S6" s="40"/>
    </row>
    <row r="7" spans="1:28" ht="16.5" customHeight="1">
      <c r="A7" s="10" t="s">
        <v>75</v>
      </c>
      <c r="B7" s="11" t="s">
        <v>76</v>
      </c>
      <c r="C7" s="11" t="s">
        <v>77</v>
      </c>
      <c r="D7" s="12" t="s">
        <v>49</v>
      </c>
      <c r="E7" s="12" t="s">
        <v>59</v>
      </c>
      <c r="F7" s="49"/>
      <c r="G7" s="7"/>
      <c r="H7" s="69"/>
      <c r="I7" s="70"/>
      <c r="J7" s="7"/>
      <c r="L7" s="53"/>
      <c r="P7" s="8"/>
      <c r="Q7" s="9"/>
      <c r="R7" s="9"/>
      <c r="S7" s="9"/>
      <c r="T7" s="9"/>
      <c r="U7" s="9"/>
      <c r="W7" s="8"/>
      <c r="X7" s="9"/>
      <c r="Y7" s="9"/>
      <c r="Z7" s="9"/>
      <c r="AA7" s="9"/>
      <c r="AB7" s="9"/>
    </row>
    <row r="8" spans="1:23" ht="16.5" customHeight="1">
      <c r="A8" s="102" t="s">
        <v>93</v>
      </c>
      <c r="B8" s="104"/>
      <c r="C8" s="104"/>
      <c r="D8" s="16" t="s">
        <v>50</v>
      </c>
      <c r="E8" s="12" t="s">
        <v>80</v>
      </c>
      <c r="F8" s="71"/>
      <c r="H8" s="72"/>
      <c r="I8" s="70"/>
      <c r="J8" s="17"/>
      <c r="K8" s="18"/>
      <c r="L8" s="52"/>
      <c r="M8" s="18"/>
      <c r="P8" s="13"/>
      <c r="W8" s="13"/>
    </row>
    <row r="9" spans="1:27" ht="16.5" customHeight="1">
      <c r="A9" s="102" t="s">
        <v>85</v>
      </c>
      <c r="B9" s="117">
        <f>((206+243.59+148.01+143.03)*(944.16*1138657+851.07*1689875)/(1138657+1689875))/868.43*127.4/124.6</f>
        <v>774.8131959255028</v>
      </c>
      <c r="C9" s="117">
        <f>B9*12</f>
        <v>9297.758351106033</v>
      </c>
      <c r="D9" s="19">
        <f>C9/C20</f>
        <v>0.14042908877115828</v>
      </c>
      <c r="E9" s="19">
        <f>C9/D50</f>
        <v>0.12689166504405477</v>
      </c>
      <c r="F9" s="71"/>
      <c r="G9" s="17"/>
      <c r="H9" s="20"/>
      <c r="I9" s="21"/>
      <c r="J9" s="7"/>
      <c r="K9" s="18"/>
      <c r="L9" s="52"/>
      <c r="M9" s="18"/>
      <c r="P9" s="13"/>
      <c r="T9" s="40"/>
      <c r="W9" s="13"/>
      <c r="AA9" s="40"/>
    </row>
    <row r="10" spans="1:28" ht="16.5" customHeight="1">
      <c r="A10" s="102" t="s">
        <v>86</v>
      </c>
      <c r="B10" s="117">
        <f>C10/12</f>
        <v>194.80788934426232</v>
      </c>
      <c r="C10" s="117">
        <f>2259*101/97.6</f>
        <v>2337.694672131148</v>
      </c>
      <c r="D10" s="19">
        <f>C10/C20</f>
        <v>0.03530747092319489</v>
      </c>
      <c r="E10" s="19">
        <f>C10/D50</f>
        <v>0.03190381574888428</v>
      </c>
      <c r="F10" s="73"/>
      <c r="G10" s="84"/>
      <c r="H10" s="13"/>
      <c r="I10" s="13"/>
      <c r="J10" s="17"/>
      <c r="K10" s="18"/>
      <c r="L10" s="52"/>
      <c r="M10" s="18"/>
      <c r="P10" s="13"/>
      <c r="T10" s="40"/>
      <c r="U10" s="22"/>
      <c r="W10" s="13"/>
      <c r="AA10" s="40"/>
      <c r="AB10" s="22"/>
    </row>
    <row r="11" spans="1:28" ht="16.5" customHeight="1">
      <c r="A11" s="102" t="s">
        <v>87</v>
      </c>
      <c r="B11" s="117">
        <f>1300+102*(137.8/115.1)+38.22+30</f>
        <v>1490.3364205039097</v>
      </c>
      <c r="C11" s="117">
        <f>(B11)*12</f>
        <v>17884.037046046917</v>
      </c>
      <c r="D11" s="19">
        <f>C11/C20</f>
        <v>0.2701123142899549</v>
      </c>
      <c r="E11" s="19">
        <f>C11/D50</f>
        <v>0.24407337261163586</v>
      </c>
      <c r="F11" s="71"/>
      <c r="G11" s="18"/>
      <c r="H11" s="33"/>
      <c r="I11" s="23"/>
      <c r="J11" s="7"/>
      <c r="K11" s="18"/>
      <c r="L11" s="52"/>
      <c r="M11" s="18"/>
      <c r="P11" s="13"/>
      <c r="T11" s="40"/>
      <c r="U11" s="22"/>
      <c r="W11" s="13"/>
      <c r="AA11" s="40"/>
      <c r="AB11" s="22"/>
    </row>
    <row r="12" spans="1:28" ht="16.5" customHeight="1">
      <c r="A12" s="102" t="s">
        <v>89</v>
      </c>
      <c r="B12" s="117">
        <f>C12/12</f>
        <v>486.0842324117779</v>
      </c>
      <c r="C12" s="117">
        <f>4873*(153.9/148.3)+124*4+2*140</f>
        <v>5833.010788941335</v>
      </c>
      <c r="D12" s="19">
        <f>C12/C20</f>
        <v>0.08809912657989506</v>
      </c>
      <c r="E12" s="19">
        <f>C12/D50</f>
        <v>0.0796063334062295</v>
      </c>
      <c r="F12" s="85"/>
      <c r="H12" s="24"/>
      <c r="I12" s="23"/>
      <c r="J12" s="74"/>
      <c r="K12" s="18"/>
      <c r="L12" s="52"/>
      <c r="M12" s="18"/>
      <c r="P12" s="13"/>
      <c r="T12" s="40"/>
      <c r="U12" s="22"/>
      <c r="W12" s="13"/>
      <c r="AA12" s="40"/>
      <c r="AB12" s="22"/>
    </row>
    <row r="13" spans="1:28" ht="16.5" customHeight="1">
      <c r="A13" s="102" t="s">
        <v>88</v>
      </c>
      <c r="B13" s="104">
        <f>C13/12</f>
        <v>731.0942982934029</v>
      </c>
      <c r="C13" s="104">
        <f>(C9+C10)*0.754</f>
        <v>8773.131579520834</v>
      </c>
      <c r="D13" s="19">
        <f>C13/C20</f>
        <v>0.1325053660095423</v>
      </c>
      <c r="E13" s="19">
        <f>C13/D50</f>
        <v>0.11973179251787604</v>
      </c>
      <c r="F13" s="71"/>
      <c r="G13" s="18"/>
      <c r="H13" s="25"/>
      <c r="I13" s="21"/>
      <c r="J13" s="17"/>
      <c r="K13" s="18"/>
      <c r="L13" s="52"/>
      <c r="M13" s="18"/>
      <c r="P13" s="13"/>
      <c r="R13" s="9"/>
      <c r="T13" s="40"/>
      <c r="U13" s="22"/>
      <c r="W13" s="13"/>
      <c r="Y13" s="9"/>
      <c r="AA13" s="40"/>
      <c r="AB13" s="22"/>
    </row>
    <row r="14" spans="1:28" s="28" customFormat="1" ht="16.5" customHeight="1">
      <c r="A14" s="103" t="s">
        <v>55</v>
      </c>
      <c r="B14" s="105"/>
      <c r="C14" s="105">
        <f>SUM(C9:C13)</f>
        <v>44125.632437746266</v>
      </c>
      <c r="D14" s="27">
        <f>C14/C20</f>
        <v>0.6664533665737454</v>
      </c>
      <c r="E14" s="27">
        <f>C14/D50</f>
        <v>0.6022069793286804</v>
      </c>
      <c r="F14" s="49"/>
      <c r="G14" s="25"/>
      <c r="H14" s="24"/>
      <c r="I14" s="23"/>
      <c r="J14" s="25"/>
      <c r="K14" s="21"/>
      <c r="L14" s="52"/>
      <c r="M14" s="18"/>
      <c r="N14"/>
      <c r="O14"/>
      <c r="P14" s="13"/>
      <c r="Q14"/>
      <c r="R14"/>
      <c r="S14"/>
      <c r="T14" s="40"/>
      <c r="U14" s="22"/>
      <c r="W14" s="13"/>
      <c r="X14"/>
      <c r="Y14"/>
      <c r="Z14"/>
      <c r="AA14" s="40"/>
      <c r="AB14" s="22"/>
    </row>
    <row r="15" spans="1:28" ht="16.5" customHeight="1">
      <c r="A15" s="102" t="s">
        <v>78</v>
      </c>
      <c r="B15" s="117">
        <f>C15/12</f>
        <v>1241.6666666666667</v>
      </c>
      <c r="C15" s="117">
        <f>870*12+347*10+640*1+175*2</f>
        <v>14900</v>
      </c>
      <c r="D15" s="19">
        <f>C15/C20</f>
        <v>0.22504278382771195</v>
      </c>
      <c r="E15" s="19">
        <f>C15/D50</f>
        <v>0.2033485640043017</v>
      </c>
      <c r="F15" s="71"/>
      <c r="G15" s="17"/>
      <c r="H15" s="28"/>
      <c r="I15" s="21"/>
      <c r="J15" s="17"/>
      <c r="K15" s="18"/>
      <c r="L15" s="13"/>
      <c r="M15" s="29"/>
      <c r="N15" s="29"/>
      <c r="P15" s="13"/>
      <c r="R15" s="9"/>
      <c r="T15" s="40"/>
      <c r="U15" s="22"/>
      <c r="W15" s="13"/>
      <c r="Y15" s="9"/>
      <c r="AA15" s="40"/>
      <c r="AB15" s="22"/>
    </row>
    <row r="16" spans="1:28" ht="16.5" customHeight="1">
      <c r="A16" s="102" t="s">
        <v>46</v>
      </c>
      <c r="B16" s="117">
        <v>136</v>
      </c>
      <c r="C16" s="117">
        <f>B16*12</f>
        <v>1632</v>
      </c>
      <c r="D16" s="19">
        <f>C16/C20</f>
        <v>0.024648981423276907</v>
      </c>
      <c r="E16" s="19">
        <f>C16/D50</f>
        <v>0.02227280915805506</v>
      </c>
      <c r="F16" s="70"/>
      <c r="G16" s="6"/>
      <c r="H16" s="17"/>
      <c r="I16" s="17"/>
      <c r="J16" s="17"/>
      <c r="K16" s="18"/>
      <c r="L16" s="13"/>
      <c r="P16" s="13"/>
      <c r="Q16" s="29"/>
      <c r="T16" s="40"/>
      <c r="U16" s="22"/>
      <c r="W16" s="13"/>
      <c r="X16" s="29"/>
      <c r="AA16" s="40"/>
      <c r="AB16" s="22"/>
    </row>
    <row r="17" spans="1:25" ht="16.5" customHeight="1">
      <c r="A17" s="102" t="s">
        <v>90</v>
      </c>
      <c r="B17" s="104">
        <f>IF((D52-3*3000-(B51-C27)/2-1200)&gt;30000,138.5,IF((D52-3*3000-(B51-C27)/2-1200)&gt;28000,102.4,IF((D52-3*3000-(B51-C27)/2-1200)&gt;26000,76.8,IF((D52-3*3000-(B51-C27)/2-1200)&gt;24000,51.2,IF((D52-3*3000-(B51-C27)/2-1200)&gt;22000,25.6,IF((D52-3*3000-(B51-C27)/2-1200)&gt;1,0))))))</f>
        <v>138.5</v>
      </c>
      <c r="C17" s="104">
        <f>B17*12</f>
        <v>1662</v>
      </c>
      <c r="D17" s="19">
        <f>C17/C20</f>
        <v>0.025102087699440084</v>
      </c>
      <c r="E17" s="19">
        <f>C17/D50</f>
        <v>0.022682235796989896</v>
      </c>
      <c r="F17" s="71"/>
      <c r="G17" s="83"/>
      <c r="I17" s="17"/>
      <c r="J17" s="17"/>
      <c r="M17" s="13"/>
      <c r="O17" s="68"/>
      <c r="Q17" s="40"/>
      <c r="R17" s="22"/>
      <c r="T17" s="13"/>
      <c r="V17" s="68"/>
      <c r="X17" s="40"/>
      <c r="Y17" s="22"/>
    </row>
    <row r="18" spans="1:25" ht="16.5" customHeight="1">
      <c r="A18" s="102" t="s">
        <v>84</v>
      </c>
      <c r="B18" s="104">
        <f>C18/12</f>
        <v>234.85</v>
      </c>
      <c r="C18" s="104">
        <f>B47*B48*2+C47*C48*2</f>
        <v>2818.2</v>
      </c>
      <c r="D18" s="19">
        <f>C18/C20</f>
        <v>0.04256480358276898</v>
      </c>
      <c r="E18" s="19">
        <f>C18/D50</f>
        <v>0.038461538461538464</v>
      </c>
      <c r="F18" s="71"/>
      <c r="G18" s="83"/>
      <c r="H18" s="17"/>
      <c r="I18" s="17"/>
      <c r="J18" s="17"/>
      <c r="K18" s="68"/>
      <c r="M18" s="13"/>
      <c r="Q18" s="40"/>
      <c r="R18" s="22"/>
      <c r="T18" s="13"/>
      <c r="X18" s="40"/>
      <c r="Y18" s="22"/>
    </row>
    <row r="19" spans="1:25" ht="16.5" customHeight="1">
      <c r="A19" s="102" t="s">
        <v>58</v>
      </c>
      <c r="B19" s="117">
        <f>C19/12</f>
        <v>89.31666666666666</v>
      </c>
      <c r="C19" s="117">
        <f>(94+112.6)*3+125*2+(33+45.1+22.9)*2</f>
        <v>1071.8</v>
      </c>
      <c r="D19" s="19">
        <f>C19/C20</f>
        <v>0.016187976893056486</v>
      </c>
      <c r="E19" s="19">
        <f>C19/D50</f>
        <v>0.014627449053678562</v>
      </c>
      <c r="F19" s="71"/>
      <c r="G19" s="86"/>
      <c r="H19" s="48"/>
      <c r="I19" s="48"/>
      <c r="J19" s="48"/>
      <c r="K19" s="68"/>
      <c r="M19" s="13"/>
      <c r="N19" s="68"/>
      <c r="O19" s="68"/>
      <c r="Q19" s="40"/>
      <c r="R19" s="22"/>
      <c r="T19" s="13"/>
      <c r="U19" s="68"/>
      <c r="V19" s="68"/>
      <c r="X19" s="40"/>
      <c r="Y19" s="22"/>
    </row>
    <row r="20" spans="1:25" ht="16.5" customHeight="1">
      <c r="A20" s="102" t="s">
        <v>79</v>
      </c>
      <c r="B20" s="104">
        <f>SUM(B8:B19)</f>
        <v>5517.469369812189</v>
      </c>
      <c r="C20" s="104">
        <f>SUM(C9:C19)-C14</f>
        <v>66209.63243774627</v>
      </c>
      <c r="D20" s="19">
        <f>C20/C20</f>
        <v>1</v>
      </c>
      <c r="E20" s="19">
        <f>SUM(E9:E19)-E14</f>
        <v>0.9035995758032442</v>
      </c>
      <c r="F20" s="70"/>
      <c r="G20" s="97" t="s">
        <v>95</v>
      </c>
      <c r="H20" s="24"/>
      <c r="I20" s="23"/>
      <c r="J20" s="24"/>
      <c r="K20" s="68"/>
      <c r="M20" s="13"/>
      <c r="N20" s="68"/>
      <c r="Q20" s="40"/>
      <c r="R20" s="22"/>
      <c r="T20" s="13"/>
      <c r="U20" s="68"/>
      <c r="X20" s="40"/>
      <c r="Y20" s="22"/>
    </row>
    <row r="21" spans="1:25" ht="16.5" customHeight="1">
      <c r="A21" s="6"/>
      <c r="B21" s="17"/>
      <c r="C21" s="17"/>
      <c r="D21" s="17"/>
      <c r="E21" s="17"/>
      <c r="F21" s="17"/>
      <c r="G21" s="17"/>
      <c r="H21" s="74"/>
      <c r="I21" s="17"/>
      <c r="J21" s="23"/>
      <c r="K21" s="68"/>
      <c r="M21" s="13"/>
      <c r="N21" s="68"/>
      <c r="Q21" s="40"/>
      <c r="R21" s="22"/>
      <c r="T21" s="13"/>
      <c r="U21" s="68"/>
      <c r="X21" s="40"/>
      <c r="Y21" s="22"/>
    </row>
    <row r="22" spans="1:25" ht="16.5" customHeight="1">
      <c r="A22" s="96"/>
      <c r="B22" s="18"/>
      <c r="C22" s="18"/>
      <c r="K22" s="68"/>
      <c r="M22" s="13"/>
      <c r="N22" s="68"/>
      <c r="Q22" s="40"/>
      <c r="R22" s="22"/>
      <c r="T22" s="13"/>
      <c r="U22" s="68"/>
      <c r="X22" s="40"/>
      <c r="Y22" s="22"/>
    </row>
    <row r="23" spans="2:25" ht="16.5" customHeight="1">
      <c r="B23" s="5" t="s">
        <v>32</v>
      </c>
      <c r="K23" s="68"/>
      <c r="M23" s="13"/>
      <c r="N23" s="68"/>
      <c r="Q23" s="40"/>
      <c r="R23" s="22"/>
      <c r="T23" s="13"/>
      <c r="U23" s="68"/>
      <c r="X23" s="40"/>
      <c r="Y23" s="22"/>
    </row>
    <row r="24" spans="3:25" ht="16.5" customHeight="1">
      <c r="C24" s="5"/>
      <c r="J24" s="67"/>
      <c r="K24" s="68"/>
      <c r="M24" s="75"/>
      <c r="N24" s="68"/>
      <c r="O24" s="68"/>
      <c r="P24" s="9"/>
      <c r="Q24" s="57"/>
      <c r="R24" s="58"/>
      <c r="T24" s="75"/>
      <c r="U24" s="68"/>
      <c r="V24" s="68"/>
      <c r="W24" s="9"/>
      <c r="X24" s="57"/>
      <c r="Y24" s="58"/>
    </row>
    <row r="25" spans="1:25" ht="16.5" customHeight="1">
      <c r="A25" s="30" t="s">
        <v>80</v>
      </c>
      <c r="B25" s="11" t="s">
        <v>76</v>
      </c>
      <c r="C25" s="11" t="s">
        <v>77</v>
      </c>
      <c r="D25" s="8"/>
      <c r="E25" s="31" t="s">
        <v>42</v>
      </c>
      <c r="F25" s="31" t="s">
        <v>52</v>
      </c>
      <c r="G25" s="31" t="s">
        <v>53</v>
      </c>
      <c r="H25" s="32" t="s">
        <v>54</v>
      </c>
      <c r="I25" s="8"/>
      <c r="K25" s="31"/>
      <c r="L25" s="31"/>
      <c r="M25" s="31"/>
      <c r="N25" s="32"/>
      <c r="O25" s="68"/>
      <c r="P25" s="9"/>
      <c r="Q25" s="57"/>
      <c r="R25" s="58"/>
      <c r="T25" s="75"/>
      <c r="U25" s="68"/>
      <c r="V25" s="68"/>
      <c r="W25" s="9"/>
      <c r="X25" s="57"/>
      <c r="Y25" s="58"/>
    </row>
    <row r="26" spans="1:25" ht="16.5" customHeight="1">
      <c r="A26" s="102" t="s">
        <v>19</v>
      </c>
      <c r="B26" s="104">
        <f>C26/12</f>
        <v>176.45933333333335</v>
      </c>
      <c r="C26" s="104">
        <f>IF(D52&lt;44761,(1433*2+(2221+1964-(D52-C27-25356)*0.23)),(1433*2-(D52-C27-43561)*0.04))</f>
        <v>2117.512</v>
      </c>
      <c r="D26" s="77"/>
      <c r="E26" s="23">
        <f>1433*2-((D52-C27-43561)*0.04)+MAX(0,((2221+1964)-(D52-C27-25356)*0.23))</f>
        <v>2117.512</v>
      </c>
      <c r="F26" s="23">
        <f>C27+43561</f>
        <v>44761</v>
      </c>
      <c r="G26" s="23">
        <f>(1433*2)/0.04+C27+43561</f>
        <v>116411</v>
      </c>
      <c r="H26" s="23">
        <f>(2221+1964)/0.23+C27+25356</f>
        <v>44751.65217391304</v>
      </c>
      <c r="K26" s="23"/>
      <c r="L26" s="23"/>
      <c r="M26" s="23"/>
      <c r="N26" s="23"/>
      <c r="Q26" s="40"/>
      <c r="R26" s="22"/>
      <c r="T26" s="13"/>
      <c r="U26" s="68"/>
      <c r="X26" s="40"/>
      <c r="Y26" s="22"/>
    </row>
    <row r="27" spans="1:25" ht="16.5" customHeight="1">
      <c r="A27" s="102" t="s">
        <v>91</v>
      </c>
      <c r="B27" s="104">
        <f>100</f>
        <v>100</v>
      </c>
      <c r="C27" s="104">
        <f>B27*12</f>
        <v>1200</v>
      </c>
      <c r="D27" s="87"/>
      <c r="E27" s="67"/>
      <c r="J27" s="88"/>
      <c r="K27" s="68"/>
      <c r="L27" s="23"/>
      <c r="M27" s="33"/>
      <c r="N27" s="23"/>
      <c r="Q27" s="40"/>
      <c r="R27" s="22"/>
      <c r="T27" s="13"/>
      <c r="U27" s="68"/>
      <c r="X27" s="40"/>
      <c r="Y27" s="22"/>
    </row>
    <row r="28" spans="1:25" ht="16.5" customHeight="1">
      <c r="A28" s="102" t="s">
        <v>81</v>
      </c>
      <c r="B28" s="104">
        <f>C28/12</f>
        <v>0</v>
      </c>
      <c r="C28" s="104">
        <v>0</v>
      </c>
      <c r="D28" s="77"/>
      <c r="E28" s="67"/>
      <c r="G28" s="23"/>
      <c r="H28" s="18"/>
      <c r="I28" s="18"/>
      <c r="K28" s="68"/>
      <c r="L28" s="55"/>
      <c r="M28" s="23"/>
      <c r="N28" s="23"/>
      <c r="Q28" s="40"/>
      <c r="R28" s="22"/>
      <c r="T28" s="13"/>
      <c r="U28" s="68"/>
      <c r="X28" s="40"/>
      <c r="Y28" s="22"/>
    </row>
    <row r="29" spans="1:25" ht="16.5" customHeight="1">
      <c r="A29" s="102" t="s">
        <v>82</v>
      </c>
      <c r="B29" s="104">
        <f>(C29)/12</f>
        <v>0</v>
      </c>
      <c r="C29" s="104">
        <f>IF(D52&lt;35761,2*(265+139),MAX(0,E29))</f>
        <v>0</v>
      </c>
      <c r="D29" s="77"/>
      <c r="E29" s="23">
        <f>(265+265+139+139)-(D52-C27-34561)*0.05</f>
        <v>-577.6099999999999</v>
      </c>
      <c r="F29" s="23">
        <f>C27+34561</f>
        <v>35761</v>
      </c>
      <c r="G29" s="23">
        <f>(265+265+139+139)/0.05+C27+34561</f>
        <v>51921</v>
      </c>
      <c r="H29" s="18"/>
      <c r="I29" s="18"/>
      <c r="K29" s="68"/>
      <c r="L29" s="23"/>
      <c r="M29" s="23"/>
      <c r="Q29" s="40"/>
      <c r="R29" s="22"/>
      <c r="T29" s="13"/>
      <c r="U29" s="68"/>
      <c r="X29" s="40"/>
      <c r="Y29" s="22"/>
    </row>
    <row r="30" spans="1:25" ht="16.5" customHeight="1">
      <c r="A30" s="102" t="s">
        <v>22</v>
      </c>
      <c r="B30" s="106">
        <v>0</v>
      </c>
      <c r="C30" s="106">
        <f>12*B30</f>
        <v>0</v>
      </c>
      <c r="D30" s="23" t="s">
        <v>94</v>
      </c>
      <c r="F30" s="33"/>
      <c r="G30" s="23"/>
      <c r="H30" s="18"/>
      <c r="I30" s="18"/>
      <c r="K30" s="68"/>
      <c r="L30" s="23"/>
      <c r="M30" s="23"/>
      <c r="N30" s="23"/>
      <c r="Q30" s="40"/>
      <c r="R30" s="22"/>
      <c r="T30" s="13"/>
      <c r="U30" s="68"/>
      <c r="X30" s="40"/>
      <c r="Y30" s="22"/>
    </row>
    <row r="31" spans="1:25" ht="16.5" customHeight="1">
      <c r="A31" s="102" t="s">
        <v>21</v>
      </c>
      <c r="B31" s="104">
        <f>C31/12</f>
        <v>0</v>
      </c>
      <c r="C31" s="104">
        <f>IF(D52&lt;38752,2*(115.5+34.5),MAX(0,E31))</f>
        <v>0</v>
      </c>
      <c r="E31" s="24">
        <f>115.5+115.5+34.5+34.5-(D52-C27-37552)*0.02</f>
        <v>-194.42399999999998</v>
      </c>
      <c r="F31" s="23">
        <f>C27+37552</f>
        <v>38752</v>
      </c>
      <c r="G31" s="23">
        <f>(115.5+115.5+34.5+34.5)/0.02+37552+C27</f>
        <v>53752</v>
      </c>
      <c r="H31" s="18"/>
      <c r="I31" s="18"/>
      <c r="K31" s="68"/>
      <c r="M31" s="13"/>
      <c r="N31" s="68"/>
      <c r="Q31" s="40"/>
      <c r="R31" s="22"/>
      <c r="T31" s="13"/>
      <c r="U31" s="68"/>
      <c r="X31" s="40"/>
      <c r="Y31" s="22"/>
    </row>
    <row r="32" spans="1:24" ht="16.5" customHeight="1">
      <c r="A32" s="102" t="s">
        <v>83</v>
      </c>
      <c r="B32" s="106">
        <v>0</v>
      </c>
      <c r="C32" s="106">
        <f>B32*12</f>
        <v>0</v>
      </c>
      <c r="D32" s="23"/>
      <c r="E32" s="98"/>
      <c r="F32" s="23"/>
      <c r="H32" s="18"/>
      <c r="J32" s="18"/>
      <c r="M32" s="13"/>
      <c r="Q32" s="40"/>
      <c r="T32" s="13"/>
      <c r="X32" s="40"/>
    </row>
    <row r="33" spans="1:25" ht="16.5" customHeight="1">
      <c r="A33" s="102" t="s">
        <v>79</v>
      </c>
      <c r="B33" s="104">
        <f>SUM(B26:B32)</f>
        <v>276.45933333333335</v>
      </c>
      <c r="C33" s="104">
        <f>SUM(C26:C32)</f>
        <v>3317.512</v>
      </c>
      <c r="D33" s="28" t="s">
        <v>106</v>
      </c>
      <c r="H33" s="18"/>
      <c r="I33" s="18"/>
      <c r="L33" s="13"/>
      <c r="P33" s="13"/>
      <c r="Q33" s="9"/>
      <c r="R33" s="9"/>
      <c r="W33" s="13"/>
      <c r="X33" s="9"/>
      <c r="Y33" s="9"/>
    </row>
    <row r="34" spans="1:15" ht="16.5" customHeight="1">
      <c r="A34" s="6"/>
      <c r="B34" s="17"/>
      <c r="C34" s="17"/>
      <c r="H34" s="18"/>
      <c r="I34" s="18"/>
      <c r="L34" s="8"/>
      <c r="M34" s="9"/>
      <c r="N34" s="9"/>
      <c r="O34" s="9"/>
    </row>
    <row r="35" spans="1:15" ht="16.5" customHeight="1">
      <c r="A35" s="6"/>
      <c r="B35" s="17"/>
      <c r="C35" s="17"/>
      <c r="H35" s="18"/>
      <c r="I35" s="18"/>
      <c r="L35" s="8"/>
      <c r="M35" s="9"/>
      <c r="N35" s="9"/>
      <c r="O35" s="9"/>
    </row>
    <row r="36" spans="2:14" ht="16.5" customHeight="1">
      <c r="B36" s="5" t="s">
        <v>45</v>
      </c>
      <c r="L36" s="18"/>
      <c r="M36" s="18"/>
      <c r="N36" s="18"/>
    </row>
    <row r="37" spans="1:27" ht="16.5" customHeight="1">
      <c r="A37" s="2"/>
      <c r="L37" s="18"/>
      <c r="N37" s="18"/>
      <c r="P37" s="8"/>
      <c r="Q37" s="9"/>
      <c r="R37" s="9"/>
      <c r="S37" s="9"/>
      <c r="T37" s="34"/>
      <c r="W37" s="8"/>
      <c r="X37" s="9"/>
      <c r="Y37" s="9"/>
      <c r="Z37" s="9"/>
      <c r="AA37" s="34"/>
    </row>
    <row r="38" spans="1:14" ht="16.5" customHeight="1">
      <c r="A38" s="35"/>
      <c r="B38" s="11"/>
      <c r="C38" s="11" t="s">
        <v>77</v>
      </c>
      <c r="D38" s="8"/>
      <c r="E38" s="30" t="s">
        <v>66</v>
      </c>
      <c r="F38" s="11"/>
      <c r="G38" s="11"/>
      <c r="H38" s="14"/>
      <c r="I38" s="8"/>
      <c r="L38" s="76"/>
      <c r="M38" s="18"/>
      <c r="N38" s="18"/>
    </row>
    <row r="39" spans="1:13" ht="16.5" customHeight="1">
      <c r="A39" s="102" t="s">
        <v>30</v>
      </c>
      <c r="B39" s="104"/>
      <c r="C39" s="104">
        <f>C33+D58</f>
        <v>66221.270416936</v>
      </c>
      <c r="E39" s="12" t="s">
        <v>62</v>
      </c>
      <c r="F39" s="12" t="s">
        <v>64</v>
      </c>
      <c r="G39" s="12" t="s">
        <v>63</v>
      </c>
      <c r="H39" s="42" t="s">
        <v>65</v>
      </c>
      <c r="I39" s="42" t="s">
        <v>23</v>
      </c>
      <c r="L39" s="18"/>
      <c r="M39" s="18"/>
    </row>
    <row r="40" spans="1:14" ht="16.5" customHeight="1">
      <c r="A40" s="102" t="s">
        <v>61</v>
      </c>
      <c r="B40" s="104"/>
      <c r="C40" s="104">
        <f>C20</f>
        <v>66209.63243774627</v>
      </c>
      <c r="E40" s="12">
        <v>4</v>
      </c>
      <c r="F40" s="12">
        <v>550</v>
      </c>
      <c r="G40" s="59">
        <f>1418+1500</f>
        <v>2918</v>
      </c>
      <c r="H40" s="61">
        <f>F40-F40/(F40+F41)*0.5*(D59-G40)</f>
        <v>-290.9137680545397</v>
      </c>
      <c r="I40" s="61">
        <f>C27-(B15-H40)*12</f>
        <v>-17190.965216654477</v>
      </c>
      <c r="K40" s="18"/>
      <c r="L40" s="18"/>
      <c r="M40" s="18"/>
      <c r="N40" s="18"/>
    </row>
    <row r="41" spans="1:9" ht="16.5" customHeight="1">
      <c r="A41" s="102" t="s">
        <v>69</v>
      </c>
      <c r="B41" s="104"/>
      <c r="C41" s="104">
        <f>C39-C40</f>
        <v>11.637979189719772</v>
      </c>
      <c r="E41" s="12">
        <v>7</v>
      </c>
      <c r="F41" s="12">
        <v>210</v>
      </c>
      <c r="G41" s="59">
        <f>1418+515</f>
        <v>1933</v>
      </c>
      <c r="H41" s="61">
        <f>F41-F41/(F40+F41)*0.5*(D59-G41)</f>
        <v>-247.16169230025008</v>
      </c>
      <c r="I41" s="61">
        <f>C27-(B15-H41)*12</f>
        <v>-16665.940307603</v>
      </c>
    </row>
    <row r="42" spans="1:9" ht="16.5" customHeight="1">
      <c r="A42" s="6"/>
      <c r="B42" s="17"/>
      <c r="C42" s="17"/>
      <c r="G42" s="60"/>
      <c r="H42" s="62" t="s">
        <v>73</v>
      </c>
      <c r="I42" s="61">
        <f>C27-(B15-H40-H41)*12</f>
        <v>-20156.90552425748</v>
      </c>
    </row>
    <row r="43" spans="2:9" ht="16.5" customHeight="1">
      <c r="B43" s="18"/>
      <c r="C43" s="18"/>
      <c r="E43" s="18"/>
      <c r="H43" s="18"/>
      <c r="I43" s="18"/>
    </row>
    <row r="44" ht="16.5" customHeight="1">
      <c r="A44" s="36" t="s">
        <v>40</v>
      </c>
    </row>
    <row r="45" ht="16.5" customHeight="1">
      <c r="B45" s="8"/>
    </row>
    <row r="46" spans="1:9" s="13" customFormat="1" ht="16.5" customHeight="1">
      <c r="A46" s="11"/>
      <c r="B46" s="11" t="s">
        <v>7</v>
      </c>
      <c r="C46" s="11" t="s">
        <v>8</v>
      </c>
      <c r="D46" s="11" t="s">
        <v>79</v>
      </c>
      <c r="F46" s="8"/>
      <c r="G46" s="37"/>
      <c r="H46" s="37"/>
      <c r="I46" s="37"/>
    </row>
    <row r="47" spans="1:9" s="68" customFormat="1" ht="16.5" customHeight="1">
      <c r="A47" s="102" t="s">
        <v>29</v>
      </c>
      <c r="B47" s="102">
        <v>35</v>
      </c>
      <c r="C47" s="107">
        <v>35</v>
      </c>
      <c r="D47" s="102">
        <f>B47+C47</f>
        <v>70</v>
      </c>
      <c r="F47" s="16" t="s">
        <v>43</v>
      </c>
      <c r="G47" s="78"/>
      <c r="H47" s="78"/>
      <c r="I47" s="79"/>
    </row>
    <row r="48" spans="1:10" s="68" customFormat="1" ht="16.5" customHeight="1">
      <c r="A48" s="102" t="s">
        <v>9</v>
      </c>
      <c r="B48" s="112">
        <v>20.13</v>
      </c>
      <c r="C48" s="113">
        <f>B48</f>
        <v>20.13</v>
      </c>
      <c r="D48" s="102"/>
      <c r="F48" s="80" t="s">
        <v>7</v>
      </c>
      <c r="G48" s="80"/>
      <c r="H48" s="81" t="s">
        <v>8</v>
      </c>
      <c r="J48" s="79"/>
    </row>
    <row r="49" spans="1:10" ht="16.5" customHeight="1">
      <c r="A49" s="108"/>
      <c r="B49" s="108"/>
      <c r="C49" s="109"/>
      <c r="D49" s="108"/>
      <c r="F49" s="16"/>
      <c r="G49" s="81" t="s">
        <v>71</v>
      </c>
      <c r="H49" s="26"/>
      <c r="I49" s="81" t="s">
        <v>71</v>
      </c>
      <c r="J49" s="34"/>
    </row>
    <row r="50" spans="1:10" ht="16.5" customHeight="1">
      <c r="A50" s="102" t="s">
        <v>60</v>
      </c>
      <c r="B50" s="104">
        <f>B48*B47*52</f>
        <v>36636.6</v>
      </c>
      <c r="C50" s="104">
        <f>C48*C47*52</f>
        <v>36636.6</v>
      </c>
      <c r="D50" s="104">
        <f aca="true" t="shared" si="0" ref="D50:D57">B50+C50</f>
        <v>73273.2</v>
      </c>
      <c r="F50" s="82" t="s">
        <v>91</v>
      </c>
      <c r="G50" s="89">
        <v>1200</v>
      </c>
      <c r="H50" s="78" t="s">
        <v>48</v>
      </c>
      <c r="I50" s="90">
        <f>2*2234</f>
        <v>4468</v>
      </c>
      <c r="J50" s="18"/>
    </row>
    <row r="51" spans="1:10" ht="16.5" customHeight="1">
      <c r="A51" s="102" t="s">
        <v>74</v>
      </c>
      <c r="B51" s="104">
        <f>C27-MIN(11000,C15-C32)</f>
        <v>-9800</v>
      </c>
      <c r="C51" s="104"/>
      <c r="D51" s="104"/>
      <c r="F51" s="82" t="s">
        <v>47</v>
      </c>
      <c r="G51" s="90">
        <f>MIN(C15,11000)</f>
        <v>11000</v>
      </c>
      <c r="H51" s="33" t="s">
        <v>44</v>
      </c>
      <c r="I51" s="90">
        <f>124*4+140+140</f>
        <v>776</v>
      </c>
      <c r="J51" s="18"/>
    </row>
    <row r="52" spans="1:10" ht="16.5" customHeight="1">
      <c r="A52" s="102" t="s">
        <v>10</v>
      </c>
      <c r="B52" s="104">
        <f>B50+B51</f>
        <v>26836.6</v>
      </c>
      <c r="C52" s="104">
        <f>C50+C51</f>
        <v>36636.6</v>
      </c>
      <c r="D52" s="104">
        <f>B52+C52</f>
        <v>63473.2</v>
      </c>
      <c r="F52" s="82" t="s">
        <v>0</v>
      </c>
      <c r="G52" s="91">
        <f>(C16-B52*0.03)</f>
        <v>826.902</v>
      </c>
      <c r="H52" s="82" t="s">
        <v>1</v>
      </c>
      <c r="I52" s="91">
        <v>619.8</v>
      </c>
      <c r="J52" s="18"/>
    </row>
    <row r="53" spans="1:10" ht="16.5" customHeight="1">
      <c r="A53" s="102" t="s">
        <v>11</v>
      </c>
      <c r="B53" s="104">
        <f>B50*0.0188</f>
        <v>688.76808</v>
      </c>
      <c r="C53" s="104">
        <f>C50*0.0188</f>
        <v>688.76808</v>
      </c>
      <c r="D53" s="104">
        <f>B53+C53</f>
        <v>1377.53616</v>
      </c>
      <c r="E53" s="77"/>
      <c r="F53" s="82" t="s">
        <v>2</v>
      </c>
      <c r="G53" s="90">
        <f>IF(D52-C27&lt;45888,IF((0.25*(C16-B52*0.03)-0.05*(D52-C27-24108))&gt;0,(0.25*(C16-B52*0.03)-0.05*(D52-C27-24108)),0),0)</f>
        <v>0</v>
      </c>
      <c r="H53" s="82" t="s">
        <v>3</v>
      </c>
      <c r="I53" s="90">
        <f>IF(D52-1200&lt;26764,(MIN(0.21*(D50-4750),1862)-0.17*(D52-1200-15811)),0)</f>
        <v>0</v>
      </c>
      <c r="J53" s="18"/>
    </row>
    <row r="54" spans="1:10" ht="16.5" customHeight="1">
      <c r="A54" s="102" t="s">
        <v>12</v>
      </c>
      <c r="B54" s="104">
        <f>(B50-3500)*0.0495</f>
        <v>1640.2617</v>
      </c>
      <c r="C54" s="104">
        <f>(C50-3500)*0.0495</f>
        <v>1640.2617</v>
      </c>
      <c r="D54" s="104">
        <f t="shared" si="0"/>
        <v>3280.5234</v>
      </c>
      <c r="E54" s="77"/>
      <c r="F54" s="92"/>
      <c r="G54" s="93"/>
      <c r="H54" s="17"/>
      <c r="I54" s="94"/>
      <c r="J54" s="18"/>
    </row>
    <row r="55" spans="1:4" ht="16.5" customHeight="1">
      <c r="A55" s="102" t="s">
        <v>13</v>
      </c>
      <c r="B55" s="104">
        <f>MAX(0,(B52*0.15-(11038+B53+B54+1117+(C16-B52*0.03))*0.15))</f>
        <v>1728.8502329999997</v>
      </c>
      <c r="C55" s="106">
        <f>MAX(0,(C52*0.15-(11038+C53+C54+1117+2234+2234+124*4+140+140+((94+112.6)*3+120*8+20*8))*0.15))</f>
        <v>2275.315533</v>
      </c>
      <c r="D55" s="104">
        <f t="shared" si="0"/>
        <v>4004.1657659999996</v>
      </c>
    </row>
    <row r="56" spans="1:6" ht="16.5" customHeight="1">
      <c r="A56" s="102" t="s">
        <v>4</v>
      </c>
      <c r="B56" s="104">
        <f>IF(D52-C27&lt;48118,IF((0.25*(C16-B52*0.03)-0.05*(D52-C27-25278))&gt;0,-1*(0.25*(C16-B52*0.03)-0.05*(D52-C27-25278)),0),0)</f>
        <v>0</v>
      </c>
      <c r="C56" s="104">
        <f>IF(D52-C27&lt;28062,-1*(MIN(0.21*(D50-4750),1952)-0.17*(D52-C27-16579)),0)</f>
        <v>0</v>
      </c>
      <c r="D56" s="104"/>
      <c r="E56" s="28"/>
      <c r="F56" s="23"/>
    </row>
    <row r="57" spans="1:6" ht="16.5" customHeight="1">
      <c r="A57" s="102" t="s">
        <v>14</v>
      </c>
      <c r="B57" s="104">
        <f>MAX(0,(B52*0.0506-(10276+B53+B54+(C16-B52*0.03))*0.0506-MAX(0,409-(B52-18181)*0.032)))</f>
        <v>546.2554119319998</v>
      </c>
      <c r="C57" s="106">
        <f>MAX(0,(C52*0.0506-(10276+C53+C54+((92.2+110.36)*3+60*8))*0.0506-MAX(0,409-(C52-18181)*0.032)))</f>
        <v>1160.960845132</v>
      </c>
      <c r="D57" s="104">
        <f t="shared" si="0"/>
        <v>1707.2162570639998</v>
      </c>
      <c r="E57" s="28"/>
      <c r="F57" s="23"/>
    </row>
    <row r="58" spans="1:6" ht="16.5" customHeight="1">
      <c r="A58" s="102" t="s">
        <v>15</v>
      </c>
      <c r="B58" s="104">
        <f>B50-SUM(B53:B57)</f>
        <v>32032.464575068</v>
      </c>
      <c r="C58" s="104">
        <f>C50-SUM(C53:C57)</f>
        <v>30871.293841868</v>
      </c>
      <c r="D58" s="104">
        <f>B58+C58</f>
        <v>62903.758416936</v>
      </c>
      <c r="E58" s="18"/>
      <c r="F58" s="18"/>
    </row>
    <row r="59" spans="1:8" ht="16.5" customHeight="1">
      <c r="A59" s="102" t="s">
        <v>33</v>
      </c>
      <c r="B59" s="104">
        <f>B58/12</f>
        <v>2669.3720479223334</v>
      </c>
      <c r="C59" s="104">
        <f>C58/12</f>
        <v>2572.6078201556666</v>
      </c>
      <c r="D59" s="104">
        <f>B59+C59</f>
        <v>5241.979868078</v>
      </c>
      <c r="E59" s="95"/>
      <c r="F59" s="67"/>
      <c r="H59" s="67"/>
    </row>
    <row r="60" spans="1:4" ht="16.5" customHeight="1">
      <c r="A60" s="114"/>
      <c r="B60" s="114"/>
      <c r="C60" s="114"/>
      <c r="D60" s="114"/>
    </row>
    <row r="61" spans="2:4" ht="16.5" customHeight="1">
      <c r="B61" s="76"/>
      <c r="C61" s="18"/>
      <c r="D61" s="18"/>
    </row>
    <row r="62" s="5" customFormat="1" ht="16.5" customHeight="1">
      <c r="A62" s="5" t="s">
        <v>70</v>
      </c>
    </row>
    <row r="64" spans="1:7" ht="16.5" customHeight="1">
      <c r="A64" s="99" t="s">
        <v>34</v>
      </c>
      <c r="B64" s="99"/>
      <c r="C64" s="99"/>
      <c r="D64" s="111">
        <f>D50</f>
        <v>73273.2</v>
      </c>
      <c r="E64" s="99"/>
      <c r="G64" s="18"/>
    </row>
    <row r="65" spans="1:5" ht="16.5" customHeight="1">
      <c r="A65" s="99" t="s">
        <v>38</v>
      </c>
      <c r="B65" s="99"/>
      <c r="C65" s="99"/>
      <c r="D65" s="111">
        <f>SUM(B53:B57)+SUM(C53:C57)</f>
        <v>10369.441583064</v>
      </c>
      <c r="E65" s="99"/>
    </row>
    <row r="66" spans="1:5" ht="16.5" customHeight="1">
      <c r="A66" s="99" t="s">
        <v>35</v>
      </c>
      <c r="B66" s="99"/>
      <c r="C66" s="99"/>
      <c r="D66" s="111">
        <f>D64-D65</f>
        <v>62903.758416936</v>
      </c>
      <c r="E66" s="99"/>
    </row>
    <row r="67" spans="1:5" ht="16.5" customHeight="1">
      <c r="A67" s="99" t="s">
        <v>72</v>
      </c>
      <c r="B67" s="99"/>
      <c r="C67" s="99"/>
      <c r="D67" s="111">
        <f>C33</f>
        <v>3317.512</v>
      </c>
      <c r="E67" s="99"/>
    </row>
    <row r="68" spans="1:5" ht="16.5" customHeight="1">
      <c r="A68" s="99" t="s">
        <v>92</v>
      </c>
      <c r="B68" s="99"/>
      <c r="C68" s="99"/>
      <c r="D68" s="111">
        <f>D66+D67</f>
        <v>66221.270416936</v>
      </c>
      <c r="E68" s="99"/>
    </row>
    <row r="69" spans="1:5" ht="16.5" customHeight="1">
      <c r="A69" s="99" t="s">
        <v>36</v>
      </c>
      <c r="B69" s="99"/>
      <c r="C69" s="99"/>
      <c r="D69" s="111">
        <f>C20</f>
        <v>66209.63243774627</v>
      </c>
      <c r="E69" s="99"/>
    </row>
    <row r="70" spans="1:5" ht="16.5" customHeight="1">
      <c r="A70" s="99" t="s">
        <v>37</v>
      </c>
      <c r="B70" s="99"/>
      <c r="C70" s="99"/>
      <c r="D70" s="111">
        <f>D68-D69</f>
        <v>11.637979189719772</v>
      </c>
      <c r="E70" s="99"/>
    </row>
    <row r="71" spans="1:5" ht="16.5" customHeight="1">
      <c r="A71" s="99"/>
      <c r="B71" s="99"/>
      <c r="C71" s="99"/>
      <c r="D71" s="99"/>
      <c r="E71" s="99"/>
    </row>
    <row r="72" spans="3:6" ht="16.5" customHeight="1">
      <c r="C72" s="5"/>
      <c r="E72" s="5"/>
      <c r="F72" s="5"/>
    </row>
    <row r="73" ht="16.5" customHeight="1">
      <c r="B73" s="18"/>
    </row>
    <row r="74" spans="1:5" ht="16.5" customHeight="1">
      <c r="A74" s="9"/>
      <c r="B74" s="13"/>
      <c r="C74" s="13"/>
      <c r="D74" s="13"/>
      <c r="E74" s="9"/>
    </row>
    <row r="75" spans="2:4" ht="16.5" customHeight="1">
      <c r="B75" s="18"/>
      <c r="C75" s="38"/>
      <c r="D75" s="18"/>
    </row>
    <row r="76" spans="1:6" ht="16.5" customHeight="1">
      <c r="A76" s="2"/>
      <c r="B76" s="18"/>
      <c r="C76" s="38"/>
      <c r="D76" s="18"/>
      <c r="F76" s="63"/>
    </row>
    <row r="77" spans="2:6" ht="16.5" customHeight="1">
      <c r="B77" s="18"/>
      <c r="C77" s="39"/>
      <c r="F77" s="54"/>
    </row>
    <row r="78" spans="2:6" ht="16.5" customHeight="1">
      <c r="B78" s="18"/>
      <c r="C78" s="39"/>
      <c r="F78" s="8"/>
    </row>
    <row r="79" spans="2:6" ht="16.5" customHeight="1">
      <c r="B79" s="8"/>
      <c r="C79" s="8"/>
      <c r="D79" s="8"/>
      <c r="E79" s="8"/>
      <c r="F79" s="41"/>
    </row>
    <row r="80" spans="2:6" ht="16.5" customHeight="1">
      <c r="B80" s="8"/>
      <c r="C80" s="8"/>
      <c r="D80" s="8"/>
      <c r="E80" s="8"/>
      <c r="F80" s="41"/>
    </row>
    <row r="81" spans="2:6" ht="16.5" customHeight="1">
      <c r="B81" s="8"/>
      <c r="C81" s="8"/>
      <c r="D81" s="8"/>
      <c r="E81" s="8"/>
      <c r="F81" s="41"/>
    </row>
    <row r="82" spans="4:6" ht="16.5" customHeight="1">
      <c r="D82" s="29"/>
      <c r="E82" s="29"/>
      <c r="F82" s="41"/>
    </row>
    <row r="83" spans="4:5" ht="16.5" customHeight="1">
      <c r="D83" s="29"/>
      <c r="E83" s="29"/>
    </row>
    <row r="84" spans="4:5" ht="16.5" customHeight="1">
      <c r="D84" s="29"/>
      <c r="E84" s="29"/>
    </row>
    <row r="85" spans="4:6" ht="16.5" customHeight="1">
      <c r="D85" s="29"/>
      <c r="E85" s="29"/>
      <c r="F85" s="8"/>
    </row>
    <row r="86" ht="16.5" customHeight="1">
      <c r="F86" s="8"/>
    </row>
    <row r="87" ht="16.5" customHeight="1">
      <c r="F87" s="8"/>
    </row>
    <row r="88" spans="2:6" ht="16.5" customHeight="1">
      <c r="B88" s="8"/>
      <c r="C88" s="8"/>
      <c r="D88" s="8"/>
      <c r="E88" s="8"/>
      <c r="F88" s="41"/>
    </row>
    <row r="89" spans="2:6" ht="16.5" customHeight="1">
      <c r="B89" s="8"/>
      <c r="C89" s="8"/>
      <c r="D89" s="8"/>
      <c r="E89" s="8"/>
      <c r="F89" s="41"/>
    </row>
    <row r="90" spans="2:6" ht="16.5" customHeight="1">
      <c r="B90" s="8"/>
      <c r="C90" s="8"/>
      <c r="D90" s="8"/>
      <c r="E90" s="8"/>
      <c r="F90" s="41"/>
    </row>
    <row r="91" spans="4:6" ht="16.5" customHeight="1">
      <c r="D91" s="29"/>
      <c r="E91" s="29"/>
      <c r="F91" s="41"/>
    </row>
    <row r="92" spans="4:5" ht="16.5" customHeight="1">
      <c r="D92" s="29"/>
      <c r="E92" s="29"/>
    </row>
    <row r="93" spans="4:5" ht="16.5" customHeight="1">
      <c r="D93" s="29"/>
      <c r="E93" s="29"/>
    </row>
    <row r="94" spans="4:5" ht="16.5" customHeight="1">
      <c r="D94" s="29"/>
      <c r="E94" s="29"/>
    </row>
    <row r="95" spans="2:3" ht="16.5" customHeight="1">
      <c r="B95" s="18"/>
      <c r="C95" s="38"/>
    </row>
    <row r="96" spans="2:6" ht="16.5" customHeight="1">
      <c r="B96" s="18"/>
      <c r="C96" s="18"/>
      <c r="D96" s="18"/>
      <c r="F96" s="8"/>
    </row>
    <row r="97" spans="2:6" ht="16.5" customHeight="1">
      <c r="B97" s="18"/>
      <c r="C97" s="39"/>
      <c r="F97" s="8"/>
    </row>
    <row r="98" spans="2:6" ht="16.5" customHeight="1">
      <c r="B98" s="18"/>
      <c r="C98" s="39"/>
      <c r="F98" s="8"/>
    </row>
    <row r="99" spans="2:6" ht="16.5" customHeight="1">
      <c r="B99" s="8"/>
      <c r="C99" s="8"/>
      <c r="D99" s="8"/>
      <c r="E99" s="8"/>
      <c r="F99" s="41"/>
    </row>
    <row r="100" spans="2:6" ht="16.5" customHeight="1">
      <c r="B100" s="8"/>
      <c r="C100" s="8"/>
      <c r="D100" s="8"/>
      <c r="E100" s="8"/>
      <c r="F100" s="41"/>
    </row>
    <row r="101" spans="2:6" ht="16.5" customHeight="1">
      <c r="B101" s="8"/>
      <c r="C101" s="8"/>
      <c r="D101" s="8"/>
      <c r="E101" s="8"/>
      <c r="F101" s="41"/>
    </row>
    <row r="102" spans="4:6" ht="16.5" customHeight="1">
      <c r="D102" s="29"/>
      <c r="E102" s="29"/>
      <c r="F102" s="41"/>
    </row>
    <row r="103" spans="4:5" ht="16.5" customHeight="1">
      <c r="D103" s="29"/>
      <c r="E103" s="29"/>
    </row>
    <row r="104" spans="4:5" ht="16.5" customHeight="1">
      <c r="D104" s="29"/>
      <c r="E104" s="29"/>
    </row>
    <row r="105" spans="4:6" ht="16.5" customHeight="1">
      <c r="D105" s="29"/>
      <c r="E105" s="29"/>
      <c r="F105" s="8"/>
    </row>
    <row r="106" ht="16.5" customHeight="1">
      <c r="F106" s="8"/>
    </row>
    <row r="107" ht="16.5" customHeight="1">
      <c r="F107" s="8"/>
    </row>
    <row r="108" spans="2:6" ht="16.5" customHeight="1">
      <c r="B108" s="8"/>
      <c r="C108" s="8"/>
      <c r="D108" s="8"/>
      <c r="E108" s="8"/>
      <c r="F108" s="41"/>
    </row>
    <row r="109" spans="2:6" ht="16.5" customHeight="1">
      <c r="B109" s="8"/>
      <c r="C109" s="8"/>
      <c r="D109" s="8"/>
      <c r="E109" s="8"/>
      <c r="F109" s="41"/>
    </row>
    <row r="110" spans="2:6" ht="16.5" customHeight="1">
      <c r="B110" s="8"/>
      <c r="C110" s="8"/>
      <c r="D110" s="8"/>
      <c r="E110" s="8"/>
      <c r="F110" s="41"/>
    </row>
    <row r="111" spans="4:6" ht="16.5" customHeight="1">
      <c r="D111" s="29"/>
      <c r="E111" s="29"/>
      <c r="F111" s="41"/>
    </row>
    <row r="112" spans="4:5" ht="16.5" customHeight="1">
      <c r="D112" s="29"/>
      <c r="E112" s="29"/>
    </row>
    <row r="113" spans="4:5" ht="16.5" customHeight="1">
      <c r="D113" s="29"/>
      <c r="E113" s="29"/>
    </row>
    <row r="114" spans="4:5" ht="16.5" customHeight="1">
      <c r="D114" s="29"/>
      <c r="E114" s="29"/>
    </row>
  </sheetData>
  <sheetProtection/>
  <printOptions gridLines="1"/>
  <pageMargins left="0.75" right="0.5" top="0.5" bottom="0.5"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B114"/>
  <sheetViews>
    <sheetView workbookViewId="0" topLeftCell="A8">
      <selection activeCell="F42" sqref="F42"/>
    </sheetView>
  </sheetViews>
  <sheetFormatPr defaultColWidth="12.57421875" defaultRowHeight="12.75"/>
  <cols>
    <col min="1" max="1" width="23.00390625" style="0" customWidth="1"/>
    <col min="2" max="10" width="12.421875" style="0" customWidth="1"/>
    <col min="11" max="11" width="21.8515625" style="0" customWidth="1"/>
    <col min="12" max="16384" width="12.421875" style="0" customWidth="1"/>
  </cols>
  <sheetData>
    <row r="1" spans="1:9" ht="16.5" customHeight="1">
      <c r="A1" s="1" t="s">
        <v>104</v>
      </c>
      <c r="B1" s="1"/>
      <c r="C1" s="43"/>
      <c r="D1" s="43"/>
      <c r="E1" s="43"/>
      <c r="F1" s="43"/>
      <c r="G1" s="43"/>
      <c r="H1" s="43"/>
      <c r="I1" s="43"/>
    </row>
    <row r="2" spans="2:5" s="2" customFormat="1" ht="16.5" customHeight="1">
      <c r="B2" s="2" t="s">
        <v>5</v>
      </c>
      <c r="D2" s="3"/>
      <c r="E2" s="4"/>
    </row>
    <row r="3" spans="1:5" s="99" customFormat="1" ht="16.5" customHeight="1">
      <c r="A3" s="43" t="s">
        <v>96</v>
      </c>
      <c r="D3" s="100"/>
      <c r="E3" s="101"/>
    </row>
    <row r="4" spans="1:10" ht="16.5" customHeight="1">
      <c r="A4" s="2"/>
      <c r="B4" s="43"/>
      <c r="C4" s="2"/>
      <c r="D4" s="3"/>
      <c r="E4" s="4"/>
      <c r="F4" s="2"/>
      <c r="G4" s="2"/>
      <c r="H4" s="2"/>
      <c r="I4" s="2"/>
      <c r="J4" s="2"/>
    </row>
    <row r="5" spans="2:8" ht="16.5" customHeight="1">
      <c r="B5" s="5" t="s">
        <v>51</v>
      </c>
      <c r="H5" s="67"/>
    </row>
    <row r="6" spans="3:14" ht="16.5" customHeight="1">
      <c r="C6" s="5"/>
      <c r="E6" s="6"/>
      <c r="F6" s="6"/>
      <c r="G6" s="6"/>
      <c r="H6" s="9"/>
      <c r="I6" s="9"/>
      <c r="J6" s="9"/>
      <c r="K6" s="9"/>
      <c r="L6" s="9"/>
      <c r="N6" s="40"/>
    </row>
    <row r="7" spans="1:23" ht="16.5" customHeight="1">
      <c r="A7" s="10" t="s">
        <v>75</v>
      </c>
      <c r="B7" s="11" t="s">
        <v>76</v>
      </c>
      <c r="C7" s="11" t="s">
        <v>77</v>
      </c>
      <c r="D7" s="12" t="s">
        <v>49</v>
      </c>
      <c r="E7" s="12" t="s">
        <v>59</v>
      </c>
      <c r="F7" s="49"/>
      <c r="G7" s="7"/>
      <c r="K7" s="8"/>
      <c r="L7" s="9"/>
      <c r="M7" s="9"/>
      <c r="N7" s="9"/>
      <c r="O7" s="9"/>
      <c r="P7" s="9"/>
      <c r="R7" s="8"/>
      <c r="S7" s="9"/>
      <c r="T7" s="9"/>
      <c r="U7" s="9"/>
      <c r="V7" s="9"/>
      <c r="W7" s="9"/>
    </row>
    <row r="8" spans="1:18" ht="16.5" customHeight="1">
      <c r="A8" s="102" t="s">
        <v>93</v>
      </c>
      <c r="B8" s="15"/>
      <c r="C8" s="15"/>
      <c r="D8" s="16" t="s">
        <v>50</v>
      </c>
      <c r="E8" s="12" t="s">
        <v>80</v>
      </c>
      <c r="F8" s="50"/>
      <c r="H8" s="18"/>
      <c r="K8" s="13"/>
      <c r="R8" s="13"/>
    </row>
    <row r="9" spans="1:22" ht="16.5" customHeight="1">
      <c r="A9" s="102" t="s">
        <v>85</v>
      </c>
      <c r="B9" s="117">
        <f>((206+243.59+148.01+143.03)*(944.16*1138657+851.07*1689875)/(1138657+1689875))/868.43*127.4/124.6</f>
        <v>774.8131959255028</v>
      </c>
      <c r="C9" s="117">
        <f>B9*12</f>
        <v>9297.758351106033</v>
      </c>
      <c r="D9" s="19">
        <f>C9/C20</f>
        <v>0.14043799743848548</v>
      </c>
      <c r="E9" s="45">
        <f>C9/D50</f>
        <v>0.12708105558889662</v>
      </c>
      <c r="F9" s="50"/>
      <c r="G9" s="17"/>
      <c r="H9" s="18"/>
      <c r="K9" s="13"/>
      <c r="O9" s="40"/>
      <c r="R9" s="13"/>
      <c r="V9" s="40"/>
    </row>
    <row r="10" spans="1:23" ht="16.5" customHeight="1">
      <c r="A10" s="116" t="s">
        <v>86</v>
      </c>
      <c r="B10" s="117">
        <f>C10/12</f>
        <v>194.80788934426232</v>
      </c>
      <c r="C10" s="117">
        <f>2259*101/97.6</f>
        <v>2337.694672131148</v>
      </c>
      <c r="D10" s="19">
        <f>C10/C20</f>
        <v>0.035309710790414506</v>
      </c>
      <c r="E10" s="45">
        <f>C10/D50</f>
        <v>0.03195143338433038</v>
      </c>
      <c r="F10" s="51"/>
      <c r="G10" s="56"/>
      <c r="H10" s="18"/>
      <c r="K10" s="13"/>
      <c r="O10" s="40"/>
      <c r="P10" s="22"/>
      <c r="R10" s="13"/>
      <c r="V10" s="40"/>
      <c r="W10" s="22"/>
    </row>
    <row r="11" spans="1:23" ht="16.5" customHeight="1">
      <c r="A11" s="102" t="s">
        <v>87</v>
      </c>
      <c r="B11" s="117">
        <f>1300+102*(137.8/115.1)+38.22+30</f>
        <v>1490.3364205039097</v>
      </c>
      <c r="C11" s="117">
        <f>(B11)*12</f>
        <v>17884.037046046917</v>
      </c>
      <c r="D11" s="19">
        <f>C11/C20</f>
        <v>0.27012944991883386</v>
      </c>
      <c r="E11" s="45">
        <f>C11/D50</f>
        <v>0.24443766122747412</v>
      </c>
      <c r="F11" s="50"/>
      <c r="G11" s="18"/>
      <c r="H11" s="18"/>
      <c r="K11" s="13"/>
      <c r="O11" s="40"/>
      <c r="P11" s="22"/>
      <c r="R11" s="13"/>
      <c r="V11" s="40"/>
      <c r="W11" s="22"/>
    </row>
    <row r="12" spans="1:23" ht="16.5" customHeight="1">
      <c r="A12" s="116" t="s">
        <v>89</v>
      </c>
      <c r="B12" s="117">
        <f>C12/12</f>
        <v>486.0842324117779</v>
      </c>
      <c r="C12" s="117">
        <f>4873*(153.9/148.3)+124*4+2*140</f>
        <v>5833.010788941335</v>
      </c>
      <c r="D12" s="19">
        <f>C12/C20</f>
        <v>0.08810471549183192</v>
      </c>
      <c r="E12" s="45">
        <f>C12/D50</f>
        <v>0.07972514882922387</v>
      </c>
      <c r="F12" s="51"/>
      <c r="H12" s="18"/>
      <c r="K12" s="13"/>
      <c r="O12" s="40"/>
      <c r="P12" s="22"/>
      <c r="R12" s="13"/>
      <c r="V12" s="40"/>
      <c r="W12" s="22"/>
    </row>
    <row r="13" spans="1:23" ht="16.5" customHeight="1">
      <c r="A13" s="102" t="s">
        <v>88</v>
      </c>
      <c r="B13" s="104">
        <f>C13/12</f>
        <v>731.0942982934029</v>
      </c>
      <c r="C13" s="104">
        <f>(C9+C10)*0.754</f>
        <v>8773.131579520834</v>
      </c>
      <c r="D13" s="19">
        <f>C13/C20</f>
        <v>0.13251377200459058</v>
      </c>
      <c r="E13" s="45">
        <f>C13/D50</f>
        <v>0.11991049668581316</v>
      </c>
      <c r="F13" s="50"/>
      <c r="G13" s="18"/>
      <c r="H13" s="18"/>
      <c r="K13" s="13"/>
      <c r="M13" s="9"/>
      <c r="O13" s="40"/>
      <c r="P13" s="22"/>
      <c r="R13" s="13"/>
      <c r="T13" s="9"/>
      <c r="V13" s="40"/>
      <c r="W13" s="22"/>
    </row>
    <row r="14" spans="1:23" s="28" customFormat="1" ht="16.5" customHeight="1">
      <c r="A14" s="103" t="s">
        <v>55</v>
      </c>
      <c r="B14" s="105"/>
      <c r="C14" s="105">
        <f>SUM(C9:C13)</f>
        <v>44125.632437746266</v>
      </c>
      <c r="D14" s="27">
        <f>C14/C20</f>
        <v>0.6664956456441563</v>
      </c>
      <c r="E14" s="27">
        <f>C14/D50</f>
        <v>0.6031057957157382</v>
      </c>
      <c r="F14" s="49"/>
      <c r="G14" s="66"/>
      <c r="H14" s="18"/>
      <c r="I14"/>
      <c r="J14"/>
      <c r="K14" s="13"/>
      <c r="L14"/>
      <c r="M14"/>
      <c r="N14"/>
      <c r="O14" s="40"/>
      <c r="P14" s="22"/>
      <c r="R14" s="13"/>
      <c r="S14"/>
      <c r="T14"/>
      <c r="U14"/>
      <c r="V14" s="40"/>
      <c r="W14" s="22"/>
    </row>
    <row r="15" spans="1:23" ht="16.5" customHeight="1">
      <c r="A15" s="115" t="s">
        <v>78</v>
      </c>
      <c r="B15" s="117">
        <f>C15/12</f>
        <v>1241.6666666666667</v>
      </c>
      <c r="C15" s="117">
        <f>870*12+347*10+640*1+175*2</f>
        <v>14900</v>
      </c>
      <c r="D15" s="19">
        <f>C15/C20</f>
        <v>0.22505706029502404</v>
      </c>
      <c r="E15" s="45">
        <f>C15/D50</f>
        <v>0.2036520693237111</v>
      </c>
      <c r="F15" s="50"/>
      <c r="G15" s="17"/>
      <c r="H15" s="29"/>
      <c r="I15" s="29"/>
      <c r="K15" s="13"/>
      <c r="M15" s="9"/>
      <c r="O15" s="40"/>
      <c r="P15" s="22"/>
      <c r="R15" s="13"/>
      <c r="T15" s="9"/>
      <c r="V15" s="40"/>
      <c r="W15" s="22"/>
    </row>
    <row r="16" spans="1:23" ht="16.5" customHeight="1">
      <c r="A16" s="102" t="s">
        <v>46</v>
      </c>
      <c r="B16" s="117">
        <v>136</v>
      </c>
      <c r="C16" s="117">
        <f>B16*12</f>
        <v>1632</v>
      </c>
      <c r="D16" s="19">
        <f>C16/C20</f>
        <v>0.024650545127616056</v>
      </c>
      <c r="E16" s="45">
        <f>C16/D50</f>
        <v>0.022306052156798425</v>
      </c>
      <c r="F16" s="44"/>
      <c r="G16" s="17"/>
      <c r="K16" s="13"/>
      <c r="L16" s="29"/>
      <c r="O16" s="40"/>
      <c r="P16" s="22"/>
      <c r="R16" s="13"/>
      <c r="S16" s="29"/>
      <c r="V16" s="40"/>
      <c r="W16" s="22"/>
    </row>
    <row r="17" spans="1:23" ht="16.5" customHeight="1">
      <c r="A17" s="102" t="s">
        <v>90</v>
      </c>
      <c r="B17" s="104">
        <f>IF((N31-3*3000+N29/2-1200)&gt;30000,138.5,IF((N31-3*3000+N29/2-1200)&gt;28000,102.4,IF((N31-3*3000+N29/2-1200)&gt;26000,76.8,IF((N31-3*3000+N29/2-1200)&gt;24000,51.2,IF((N31-3*3000+N29/2-1200)&gt;22000,25.6,IF((N31-3*3000+N29/2-1200)&gt;1,0))))))</f>
        <v>138.5</v>
      </c>
      <c r="C17" s="104">
        <f>B17*12</f>
        <v>1662</v>
      </c>
      <c r="D17" s="19">
        <f>C17/C20</f>
        <v>0.02510368014834429</v>
      </c>
      <c r="E17" s="45">
        <f>C17/D50</f>
        <v>0.022716089880268985</v>
      </c>
      <c r="F17" s="50"/>
      <c r="G17" s="17"/>
      <c r="K17" s="13"/>
      <c r="M17" s="43"/>
      <c r="O17" s="40"/>
      <c r="P17" s="22"/>
      <c r="R17" s="13"/>
      <c r="T17" s="43"/>
      <c r="V17" s="40"/>
      <c r="W17" s="22"/>
    </row>
    <row r="18" spans="1:23" ht="16.5" customHeight="1">
      <c r="A18" s="102" t="s">
        <v>84</v>
      </c>
      <c r="B18" s="104">
        <f>C18/12</f>
        <v>234.5</v>
      </c>
      <c r="C18" s="104">
        <f>B47*B48*2+C47*C48*2</f>
        <v>2814</v>
      </c>
      <c r="D18" s="19">
        <f>C18/C20</f>
        <v>0.04250406494430856</v>
      </c>
      <c r="E18" s="45">
        <f>C18/D50</f>
        <v>0.038461538461538464</v>
      </c>
      <c r="F18" s="50"/>
      <c r="G18" s="17"/>
      <c r="H18" s="43"/>
      <c r="I18" s="43"/>
      <c r="K18" s="13"/>
      <c r="O18" s="40"/>
      <c r="P18" s="22"/>
      <c r="R18" s="13"/>
      <c r="V18" s="40"/>
      <c r="W18" s="22"/>
    </row>
    <row r="19" spans="1:23" ht="16.5" customHeight="1">
      <c r="A19" s="102" t="s">
        <v>58</v>
      </c>
      <c r="B19" s="117">
        <f>C19/12</f>
        <v>89.31666666666666</v>
      </c>
      <c r="C19" s="117">
        <f>(94+112.6)*3+125*2+(33+45.1+22.9)*2</f>
        <v>1071.8</v>
      </c>
      <c r="D19" s="19">
        <f>C19/C20</f>
        <v>0.01618900384055079</v>
      </c>
      <c r="E19" s="45">
        <f>C19/D50</f>
        <v>0.014649281067191515</v>
      </c>
      <c r="F19" s="50"/>
      <c r="G19" s="48"/>
      <c r="I19" s="43"/>
      <c r="K19" s="13"/>
      <c r="L19" s="43"/>
      <c r="M19" s="43"/>
      <c r="O19" s="40"/>
      <c r="P19" s="22"/>
      <c r="R19" s="13"/>
      <c r="S19" s="43"/>
      <c r="T19" s="43"/>
      <c r="V19" s="40"/>
      <c r="W19" s="22"/>
    </row>
    <row r="20" spans="1:23" ht="16.5" customHeight="1">
      <c r="A20" s="102" t="s">
        <v>79</v>
      </c>
      <c r="B20" s="104">
        <f>SUM(B8:B19)</f>
        <v>5517.119369812189</v>
      </c>
      <c r="C20" s="104">
        <f>SUM(C9:C19)-C14</f>
        <v>66205.43243774626</v>
      </c>
      <c r="D20" s="19">
        <f>C20/C20</f>
        <v>1</v>
      </c>
      <c r="E20" s="19">
        <f>SUM(E9:E19)-E14</f>
        <v>0.9048908266052467</v>
      </c>
      <c r="F20" s="44"/>
      <c r="G20" s="24"/>
      <c r="I20" s="43"/>
      <c r="K20" s="13"/>
      <c r="L20" s="43"/>
      <c r="O20" s="40"/>
      <c r="P20" s="22"/>
      <c r="R20" s="13"/>
      <c r="S20" s="43"/>
      <c r="V20" s="40"/>
      <c r="W20" s="22"/>
    </row>
    <row r="21" spans="1:23" ht="16.5" customHeight="1">
      <c r="A21" s="6"/>
      <c r="B21" s="17"/>
      <c r="C21" s="17"/>
      <c r="D21" s="17"/>
      <c r="E21" s="17"/>
      <c r="F21" s="17"/>
      <c r="G21" s="17"/>
      <c r="I21" s="43"/>
      <c r="K21" s="13"/>
      <c r="L21" s="43"/>
      <c r="O21" s="40"/>
      <c r="P21" s="22"/>
      <c r="R21" s="13"/>
      <c r="S21" s="43"/>
      <c r="V21" s="40"/>
      <c r="W21" s="22"/>
    </row>
    <row r="22" spans="1:23" ht="16.5" customHeight="1">
      <c r="A22" s="6"/>
      <c r="B22" s="17"/>
      <c r="C22" s="17"/>
      <c r="D22" s="17"/>
      <c r="E22" s="17"/>
      <c r="F22" s="17"/>
      <c r="G22" s="17"/>
      <c r="I22" s="43"/>
      <c r="K22" s="13"/>
      <c r="L22" s="43"/>
      <c r="O22" s="40"/>
      <c r="P22" s="22"/>
      <c r="R22" s="13"/>
      <c r="S22" s="43"/>
      <c r="V22" s="40"/>
      <c r="W22" s="22"/>
    </row>
    <row r="23" spans="1:28" ht="16.5" customHeight="1">
      <c r="A23" s="6"/>
      <c r="B23" s="17"/>
      <c r="C23" s="17"/>
      <c r="D23" s="17"/>
      <c r="E23" s="17"/>
      <c r="F23" s="17"/>
      <c r="G23" s="17"/>
      <c r="H23" s="74"/>
      <c r="I23" s="17"/>
      <c r="J23" s="23"/>
      <c r="K23" s="18"/>
      <c r="L23" s="13"/>
      <c r="N23" s="43"/>
      <c r="P23" s="13"/>
      <c r="Q23" s="43"/>
      <c r="T23" s="40"/>
      <c r="U23" s="22"/>
      <c r="W23" s="13"/>
      <c r="X23" s="43"/>
      <c r="AA23" s="40"/>
      <c r="AB23" s="22"/>
    </row>
    <row r="24" spans="2:28" ht="16.5" customHeight="1">
      <c r="B24" s="5" t="s">
        <v>32</v>
      </c>
      <c r="K24" s="5" t="s">
        <v>39</v>
      </c>
      <c r="L24" s="13"/>
      <c r="N24" s="43"/>
      <c r="P24" s="13"/>
      <c r="Q24" s="43"/>
      <c r="T24" s="40"/>
      <c r="U24" s="22"/>
      <c r="W24" s="13"/>
      <c r="X24" s="43"/>
      <c r="AA24" s="40"/>
      <c r="AB24" s="22"/>
    </row>
    <row r="25" spans="3:28" ht="16.5" customHeight="1">
      <c r="C25" s="5"/>
      <c r="L25" s="13"/>
      <c r="N25" s="43"/>
      <c r="P25" s="47"/>
      <c r="Q25" s="43"/>
      <c r="R25" s="43"/>
      <c r="S25" s="9"/>
      <c r="T25" s="57"/>
      <c r="U25" s="58"/>
      <c r="W25" s="47"/>
      <c r="X25" s="43"/>
      <c r="Y25" s="43"/>
      <c r="Z25" s="9"/>
      <c r="AA25" s="57"/>
      <c r="AB25" s="58"/>
    </row>
    <row r="26" spans="1:28" ht="16.5" customHeight="1">
      <c r="A26" s="118" t="s">
        <v>80</v>
      </c>
      <c r="B26" s="119" t="s">
        <v>76</v>
      </c>
      <c r="C26" s="119" t="s">
        <v>77</v>
      </c>
      <c r="D26" s="8"/>
      <c r="E26" s="31" t="s">
        <v>6</v>
      </c>
      <c r="F26" s="31" t="s">
        <v>52</v>
      </c>
      <c r="G26" s="31" t="s">
        <v>53</v>
      </c>
      <c r="H26" s="32" t="s">
        <v>54</v>
      </c>
      <c r="I26" s="8"/>
      <c r="K26" s="10" t="s">
        <v>103</v>
      </c>
      <c r="L26" s="11" t="s">
        <v>7</v>
      </c>
      <c r="M26" s="11" t="s">
        <v>8</v>
      </c>
      <c r="N26" s="11" t="s">
        <v>79</v>
      </c>
      <c r="P26" s="47"/>
      <c r="Q26" s="46"/>
      <c r="R26" s="46"/>
      <c r="S26" s="34"/>
      <c r="T26" s="57"/>
      <c r="U26" s="58"/>
      <c r="W26" s="47"/>
      <c r="X26" s="43"/>
      <c r="Y26" s="43"/>
      <c r="Z26" s="9"/>
      <c r="AA26" s="57"/>
      <c r="AB26" s="58"/>
    </row>
    <row r="27" spans="1:28" ht="16.5" customHeight="1">
      <c r="A27" s="116" t="s">
        <v>19</v>
      </c>
      <c r="B27" s="110">
        <f>C27/12</f>
        <v>182.64733333333334</v>
      </c>
      <c r="C27" s="110">
        <f>1433*2-(L31+M31-N28-43561)*0.04</f>
        <v>2191.768</v>
      </c>
      <c r="D27" s="54"/>
      <c r="E27" s="23">
        <f>1433*2-((N31-N28-43561)*0.04)+MAX(0,((2221+1964)-(N31-N28-25356)*0.23))</f>
        <v>2191.768</v>
      </c>
      <c r="F27" s="23">
        <f>N28+43561</f>
        <v>44761</v>
      </c>
      <c r="G27" s="23">
        <f>(1433*2)/0.04+N28+43561</f>
        <v>116411</v>
      </c>
      <c r="H27" s="23">
        <f>(2221+1964)/0.23+N28+25356</f>
        <v>44751.65217391304</v>
      </c>
      <c r="K27" s="102" t="s">
        <v>28</v>
      </c>
      <c r="L27" s="106">
        <v>35708.4</v>
      </c>
      <c r="M27" s="106">
        <v>35708.4</v>
      </c>
      <c r="N27" s="106">
        <v>71416.8</v>
      </c>
      <c r="P27" s="13"/>
      <c r="Q27" s="46"/>
      <c r="R27" s="18"/>
      <c r="S27" s="18"/>
      <c r="T27" s="40"/>
      <c r="U27" s="22"/>
      <c r="W27" s="13"/>
      <c r="X27" s="43"/>
      <c r="AA27" s="40"/>
      <c r="AB27" s="22"/>
    </row>
    <row r="28" spans="1:28" ht="16.5" customHeight="1">
      <c r="A28" s="116" t="s">
        <v>91</v>
      </c>
      <c r="B28" s="110">
        <f>100</f>
        <v>100</v>
      </c>
      <c r="C28" s="110">
        <f>B28*12</f>
        <v>1200</v>
      </c>
      <c r="D28" s="87"/>
      <c r="E28" s="67"/>
      <c r="K28" s="102" t="s">
        <v>26</v>
      </c>
      <c r="L28" s="106">
        <v>1200</v>
      </c>
      <c r="M28" s="106"/>
      <c r="N28" s="106">
        <f aca="true" t="shared" si="0" ref="N28:N37">SUM(L28:M28)</f>
        <v>1200</v>
      </c>
      <c r="P28" s="13"/>
      <c r="Q28" s="46"/>
      <c r="R28" s="18"/>
      <c r="S28" s="18"/>
      <c r="T28" s="40"/>
      <c r="U28" s="22"/>
      <c r="W28" s="13"/>
      <c r="X28" s="43"/>
      <c r="AA28" s="40"/>
      <c r="AB28" s="22"/>
    </row>
    <row r="29" spans="1:28" ht="16.5" customHeight="1">
      <c r="A29" s="116" t="s">
        <v>82</v>
      </c>
      <c r="B29" s="110">
        <f>(C29)/12</f>
        <v>0</v>
      </c>
      <c r="C29" s="110">
        <f>IF(N31&lt;35761,2*(265+139),MAX(0,E29))</f>
        <v>0</v>
      </c>
      <c r="D29" s="54"/>
      <c r="E29" s="23">
        <f>(265+265+139+139)-(N31-N28-34561)*0.05</f>
        <v>-484.7900000000002</v>
      </c>
      <c r="F29" s="23">
        <f>N28+34561</f>
        <v>35761</v>
      </c>
      <c r="G29" s="23">
        <f>(265+265+139+139)/0.05+N28+34561</f>
        <v>51921</v>
      </c>
      <c r="H29" s="18"/>
      <c r="I29" s="18"/>
      <c r="K29" s="102" t="s">
        <v>25</v>
      </c>
      <c r="L29" s="106">
        <v>11000</v>
      </c>
      <c r="M29" s="106"/>
      <c r="N29" s="106">
        <f t="shared" si="0"/>
        <v>11000</v>
      </c>
      <c r="P29" s="140"/>
      <c r="Q29" s="46"/>
      <c r="R29" s="18"/>
      <c r="S29" s="18"/>
      <c r="T29" s="40"/>
      <c r="U29" s="22"/>
      <c r="W29" s="13"/>
      <c r="X29" s="43"/>
      <c r="AA29" s="40"/>
      <c r="AB29" s="22"/>
    </row>
    <row r="30" spans="1:28" ht="16.5" customHeight="1">
      <c r="A30" s="116" t="s">
        <v>22</v>
      </c>
      <c r="B30" s="110">
        <v>0</v>
      </c>
      <c r="C30" s="110">
        <f>12*B30</f>
        <v>0</v>
      </c>
      <c r="D30" s="23"/>
      <c r="E30" s="23" t="s">
        <v>31</v>
      </c>
      <c r="F30" s="33"/>
      <c r="G30" s="23" t="s">
        <v>20</v>
      </c>
      <c r="H30" s="18"/>
      <c r="I30" s="18"/>
      <c r="K30" s="102" t="s">
        <v>67</v>
      </c>
      <c r="L30" s="106">
        <f>L28-L29</f>
        <v>-9800</v>
      </c>
      <c r="M30" s="106"/>
      <c r="N30" s="106">
        <f t="shared" si="0"/>
        <v>-9800</v>
      </c>
      <c r="P30" s="13"/>
      <c r="Q30" s="46"/>
      <c r="R30" s="18"/>
      <c r="S30" s="18"/>
      <c r="T30" s="40"/>
      <c r="U30" s="22"/>
      <c r="W30" s="13"/>
      <c r="X30" s="43"/>
      <c r="AA30" s="40"/>
      <c r="AB30" s="22"/>
    </row>
    <row r="31" spans="1:28" ht="16.5" customHeight="1">
      <c r="A31" s="116" t="s">
        <v>21</v>
      </c>
      <c r="B31" s="110">
        <f>C31/12</f>
        <v>0</v>
      </c>
      <c r="C31" s="110">
        <f>IF(N31&lt;38752,2*(115.5+34.5),MAX(0,E31))</f>
        <v>0</v>
      </c>
      <c r="E31" s="55">
        <f>115.5+115.5+34.5+34.5-(N31-N28-37552)*0.02</f>
        <v>-157.29600000000005</v>
      </c>
      <c r="F31" s="23">
        <f>N28+37552</f>
        <v>38752</v>
      </c>
      <c r="G31" s="23">
        <f>(115.5+115.5+34.5+34.5)/0.02+37552+N28</f>
        <v>53752</v>
      </c>
      <c r="H31" s="18"/>
      <c r="I31" s="18"/>
      <c r="K31" s="102" t="s">
        <v>68</v>
      </c>
      <c r="L31" s="106">
        <f>L27+L30</f>
        <v>25908.4</v>
      </c>
      <c r="M31" s="106">
        <f>M27-M30</f>
        <v>35708.4</v>
      </c>
      <c r="N31" s="106">
        <f t="shared" si="0"/>
        <v>61616.8</v>
      </c>
      <c r="P31" s="13"/>
      <c r="Q31" s="46"/>
      <c r="R31" s="18"/>
      <c r="S31" s="18"/>
      <c r="T31" s="40"/>
      <c r="U31" s="22"/>
      <c r="W31" s="13"/>
      <c r="X31" s="43"/>
      <c r="AA31" s="40"/>
      <c r="AB31" s="22"/>
    </row>
    <row r="32" spans="1:28" ht="16.5" customHeight="1">
      <c r="A32" s="116" t="s">
        <v>83</v>
      </c>
      <c r="B32" s="110">
        <v>0</v>
      </c>
      <c r="C32" s="110">
        <f>B32*12</f>
        <v>0</v>
      </c>
      <c r="D32" s="23"/>
      <c r="E32" s="98"/>
      <c r="F32" s="23"/>
      <c r="H32" s="18"/>
      <c r="J32" s="18"/>
      <c r="K32" s="102" t="s">
        <v>16</v>
      </c>
      <c r="L32" s="106">
        <v>653.4637200000001</v>
      </c>
      <c r="M32" s="106">
        <v>653.4637200000001</v>
      </c>
      <c r="N32" s="106">
        <f t="shared" si="0"/>
        <v>1306.9274400000002</v>
      </c>
      <c r="P32" s="13"/>
      <c r="Q32" s="46"/>
      <c r="R32" s="18"/>
      <c r="S32" s="18"/>
      <c r="T32" s="40"/>
      <c r="U32" s="22"/>
      <c r="W32" s="13"/>
      <c r="X32" s="43"/>
      <c r="AA32" s="40"/>
      <c r="AB32" s="22"/>
    </row>
    <row r="33" spans="1:27" ht="16.5" customHeight="1">
      <c r="A33" s="116" t="s">
        <v>79</v>
      </c>
      <c r="B33" s="110">
        <f>SUM(B27:B32)</f>
        <v>282.64733333333334</v>
      </c>
      <c r="C33" s="110">
        <f>SUM(C27:C32)</f>
        <v>3391.768</v>
      </c>
      <c r="D33" t="s">
        <v>105</v>
      </c>
      <c r="H33" s="18"/>
      <c r="I33" s="18"/>
      <c r="K33" s="102" t="s">
        <v>56</v>
      </c>
      <c r="L33" s="106">
        <v>1594.3158</v>
      </c>
      <c r="M33" s="106">
        <v>1594.3158</v>
      </c>
      <c r="N33" s="106">
        <f t="shared" si="0"/>
        <v>3188.6316</v>
      </c>
      <c r="P33" s="13"/>
      <c r="Q33" s="18"/>
      <c r="R33" s="18"/>
      <c r="S33" s="18"/>
      <c r="T33" s="40"/>
      <c r="W33" s="13"/>
      <c r="AA33" s="40"/>
    </row>
    <row r="34" spans="2:28" ht="16.5" customHeight="1">
      <c r="B34" s="18"/>
      <c r="C34" s="18"/>
      <c r="K34" s="102" t="s">
        <v>57</v>
      </c>
      <c r="L34" s="106">
        <v>1638.7308720000005</v>
      </c>
      <c r="M34" s="106">
        <v>2201.691072</v>
      </c>
      <c r="N34" s="106">
        <f t="shared" si="0"/>
        <v>3840.4219440000006</v>
      </c>
      <c r="P34" s="13"/>
      <c r="Q34" s="46"/>
      <c r="R34" s="18"/>
      <c r="S34" s="18"/>
      <c r="T34" s="40"/>
      <c r="U34" s="22"/>
      <c r="W34" s="13"/>
      <c r="X34" s="43"/>
      <c r="AA34" s="40"/>
      <c r="AB34" s="22"/>
    </row>
    <row r="35" spans="2:25" ht="16.5" customHeight="1">
      <c r="B35" s="18"/>
      <c r="C35" s="18"/>
      <c r="K35" s="102" t="s">
        <v>17</v>
      </c>
      <c r="L35" s="106">
        <v>434.1391474880001</v>
      </c>
      <c r="M35" s="106">
        <v>1063.558388288</v>
      </c>
      <c r="N35" s="106">
        <f t="shared" si="0"/>
        <v>1497.6975357760002</v>
      </c>
      <c r="P35" s="13"/>
      <c r="Q35" s="34"/>
      <c r="R35" s="34"/>
      <c r="S35" s="18"/>
      <c r="W35" s="13"/>
      <c r="X35" s="9"/>
      <c r="Y35" s="9"/>
    </row>
    <row r="36" spans="2:25" ht="16.5" customHeight="1">
      <c r="B36" s="5" t="s">
        <v>45</v>
      </c>
      <c r="K36" s="102"/>
      <c r="L36" s="117"/>
      <c r="M36" s="117"/>
      <c r="N36" s="117"/>
      <c r="P36" s="13"/>
      <c r="Q36" s="34"/>
      <c r="R36" s="34"/>
      <c r="S36" s="18"/>
      <c r="W36" s="13"/>
      <c r="X36" s="9"/>
      <c r="Y36" s="9"/>
    </row>
    <row r="37" spans="1:14" ht="16.5" customHeight="1">
      <c r="A37" s="2"/>
      <c r="K37" s="102" t="s">
        <v>18</v>
      </c>
      <c r="L37" s="106">
        <f>L27-SUM(L32:L35)</f>
        <v>31387.750460512</v>
      </c>
      <c r="M37" s="106">
        <f>M27-SUM(M32:M35)</f>
        <v>30195.371019712</v>
      </c>
      <c r="N37" s="106">
        <f t="shared" si="0"/>
        <v>61583.121480224</v>
      </c>
    </row>
    <row r="38" spans="1:14" ht="16.5" customHeight="1">
      <c r="A38" s="35"/>
      <c r="B38" s="11"/>
      <c r="C38" s="11" t="s">
        <v>77</v>
      </c>
      <c r="D38" s="8"/>
      <c r="E38" s="30" t="s">
        <v>66</v>
      </c>
      <c r="F38" s="11"/>
      <c r="G38" s="11"/>
      <c r="H38" s="14"/>
      <c r="I38" s="8"/>
      <c r="K38" s="6"/>
      <c r="L38" s="64"/>
      <c r="M38" s="17"/>
      <c r="N38" s="65"/>
    </row>
    <row r="39" spans="1:12" ht="16.5" customHeight="1">
      <c r="A39" s="102" t="s">
        <v>30</v>
      </c>
      <c r="B39" s="104"/>
      <c r="C39" s="104">
        <f>C33+D58</f>
        <v>66216.88320472</v>
      </c>
      <c r="E39" s="12" t="s">
        <v>62</v>
      </c>
      <c r="F39" s="12" t="s">
        <v>64</v>
      </c>
      <c r="G39" s="12" t="s">
        <v>63</v>
      </c>
      <c r="H39" s="42" t="s">
        <v>65</v>
      </c>
      <c r="I39" s="42" t="s">
        <v>27</v>
      </c>
      <c r="L39" s="13"/>
    </row>
    <row r="40" spans="1:27" ht="16.5" customHeight="1">
      <c r="A40" s="102" t="s">
        <v>61</v>
      </c>
      <c r="B40" s="104"/>
      <c r="C40" s="104">
        <f>C20</f>
        <v>66205.43243774626</v>
      </c>
      <c r="E40" s="12">
        <v>4</v>
      </c>
      <c r="F40" s="12">
        <v>550</v>
      </c>
      <c r="G40" s="59">
        <f>1418+1500</f>
        <v>2918</v>
      </c>
      <c r="H40" s="61">
        <f>F40-F40/(F40+F41)*0.5*((N37/12)-G40)</f>
        <v>-251.0919305988598</v>
      </c>
      <c r="I40" s="61">
        <f>C28-(B15-H40)*12</f>
        <v>-16713.103167186317</v>
      </c>
      <c r="P40" s="8"/>
      <c r="Q40" s="9"/>
      <c r="R40" s="9"/>
      <c r="S40" s="9"/>
      <c r="T40" s="34"/>
      <c r="W40" s="8"/>
      <c r="X40" s="9"/>
      <c r="Y40" s="9"/>
      <c r="Z40" s="9"/>
      <c r="AA40" s="34"/>
    </row>
    <row r="41" spans="1:9" ht="16.5" customHeight="1">
      <c r="A41" s="102" t="s">
        <v>69</v>
      </c>
      <c r="B41" s="104"/>
      <c r="C41" s="104">
        <f>C39-C40</f>
        <v>11.450766973735881</v>
      </c>
      <c r="E41" s="12">
        <v>7</v>
      </c>
      <c r="F41" s="12">
        <v>210</v>
      </c>
      <c r="G41" s="59">
        <f>1418+515</f>
        <v>1933</v>
      </c>
      <c r="H41" s="61">
        <f>F41-F41/(F40+F41)*0.5*((N37/12)-G41)</f>
        <v>-231.95699072626326</v>
      </c>
      <c r="I41" s="61">
        <f>C28-(B15-H41)*12</f>
        <v>-16483.48388871516</v>
      </c>
    </row>
    <row r="42" spans="1:9" ht="16.5" customHeight="1">
      <c r="A42" s="6"/>
      <c r="B42" s="17"/>
      <c r="C42" s="17"/>
      <c r="G42" s="60"/>
      <c r="H42" s="62" t="s">
        <v>73</v>
      </c>
      <c r="I42" s="61">
        <f>C28-(B15-H40-H41)*12</f>
        <v>-19496.587055901477</v>
      </c>
    </row>
    <row r="43" spans="1:9" ht="16.5" customHeight="1">
      <c r="A43" s="60"/>
      <c r="B43" s="60"/>
      <c r="C43" s="60"/>
      <c r="D43" s="60"/>
      <c r="E43" s="60"/>
      <c r="F43" s="60"/>
      <c r="H43" s="18"/>
      <c r="I43" s="18"/>
    </row>
    <row r="44" spans="1:6" ht="16.5" customHeight="1">
      <c r="A44" s="122" t="s">
        <v>40</v>
      </c>
      <c r="B44" s="60"/>
      <c r="C44" s="60"/>
      <c r="D44" s="60"/>
      <c r="E44" s="60"/>
      <c r="F44" s="60"/>
    </row>
    <row r="45" spans="1:11" ht="16.5" customHeight="1">
      <c r="A45" s="60"/>
      <c r="B45" s="123"/>
      <c r="C45" s="60"/>
      <c r="D45" s="60"/>
      <c r="E45" s="60"/>
      <c r="F45" s="60"/>
      <c r="K45" s="18"/>
    </row>
    <row r="46" spans="1:9" ht="16.5" customHeight="1">
      <c r="A46" s="119"/>
      <c r="B46" s="119" t="s">
        <v>7</v>
      </c>
      <c r="C46" s="119" t="s">
        <v>8</v>
      </c>
      <c r="D46" s="119" t="s">
        <v>79</v>
      </c>
      <c r="E46" s="124"/>
      <c r="F46" s="123"/>
      <c r="G46" s="37"/>
      <c r="H46" s="37"/>
      <c r="I46" s="37"/>
    </row>
    <row r="47" spans="1:10" ht="16.5" customHeight="1">
      <c r="A47" s="116" t="s">
        <v>29</v>
      </c>
      <c r="B47" s="116">
        <v>35</v>
      </c>
      <c r="C47" s="125">
        <v>35</v>
      </c>
      <c r="D47" s="116">
        <f>B47+C47</f>
        <v>70</v>
      </c>
      <c r="E47" s="126"/>
      <c r="F47" s="127" t="s">
        <v>97</v>
      </c>
      <c r="G47" s="78"/>
      <c r="H47" s="78"/>
      <c r="I47" s="46"/>
      <c r="J47" s="13"/>
    </row>
    <row r="48" spans="1:10" ht="16.5" customHeight="1">
      <c r="A48" s="116" t="s">
        <v>9</v>
      </c>
      <c r="B48" s="112">
        <v>20.1</v>
      </c>
      <c r="C48" s="113">
        <f>B48</f>
        <v>20.1</v>
      </c>
      <c r="D48" s="116"/>
      <c r="E48" s="126"/>
      <c r="F48" s="128" t="s">
        <v>7</v>
      </c>
      <c r="G48" s="80"/>
      <c r="H48" s="81" t="s">
        <v>8</v>
      </c>
      <c r="I48" s="43"/>
      <c r="J48" s="43"/>
    </row>
    <row r="49" spans="1:11" s="13" customFormat="1" ht="16.5" customHeight="1">
      <c r="A49" s="129"/>
      <c r="B49" s="129"/>
      <c r="C49" s="130"/>
      <c r="D49" s="129"/>
      <c r="E49" s="60"/>
      <c r="F49" s="127"/>
      <c r="G49" s="81" t="s">
        <v>71</v>
      </c>
      <c r="H49" s="26"/>
      <c r="I49" s="81" t="s">
        <v>71</v>
      </c>
      <c r="J49" s="43"/>
      <c r="K49"/>
    </row>
    <row r="50" spans="1:11" s="43" customFormat="1" ht="16.5" customHeight="1">
      <c r="A50" s="116" t="s">
        <v>60</v>
      </c>
      <c r="B50" s="110">
        <f>B48*B47*52</f>
        <v>36582</v>
      </c>
      <c r="C50" s="110">
        <f>C48*C47*52</f>
        <v>36582</v>
      </c>
      <c r="D50" s="110">
        <f aca="true" t="shared" si="1" ref="D50:D57">B50+C50</f>
        <v>73164</v>
      </c>
      <c r="E50" s="60"/>
      <c r="F50" s="131" t="s">
        <v>91</v>
      </c>
      <c r="G50" s="89">
        <v>1200</v>
      </c>
      <c r="H50" s="78" t="s">
        <v>48</v>
      </c>
      <c r="I50" s="90">
        <f>2*2234</f>
        <v>4468</v>
      </c>
      <c r="J50"/>
      <c r="K50"/>
    </row>
    <row r="51" spans="1:11" s="43" customFormat="1" ht="16.5" customHeight="1">
      <c r="A51" s="116" t="s">
        <v>74</v>
      </c>
      <c r="B51" s="110">
        <f>C28-MIN(11000,C15-C32)</f>
        <v>-9800</v>
      </c>
      <c r="C51" s="110"/>
      <c r="D51" s="110"/>
      <c r="E51" s="60"/>
      <c r="F51" s="131" t="s">
        <v>47</v>
      </c>
      <c r="G51" s="90">
        <f>MIN(C15,11000)</f>
        <v>11000</v>
      </c>
      <c r="H51" s="33" t="s">
        <v>98</v>
      </c>
      <c r="I51" s="90">
        <f>124*4+140*8</f>
        <v>1616</v>
      </c>
      <c r="J51"/>
      <c r="K51" s="13"/>
    </row>
    <row r="52" spans="1:11" ht="16.5" customHeight="1">
      <c r="A52" s="116" t="s">
        <v>10</v>
      </c>
      <c r="B52" s="110">
        <f>B50+B51</f>
        <v>26782</v>
      </c>
      <c r="C52" s="110">
        <f>C50+C51</f>
        <v>36582</v>
      </c>
      <c r="D52" s="110">
        <f t="shared" si="1"/>
        <v>63364</v>
      </c>
      <c r="E52" s="60"/>
      <c r="F52" s="131" t="s">
        <v>99</v>
      </c>
      <c r="G52" s="91">
        <f>(C16-B52*0.03)</f>
        <v>828.5400000000001</v>
      </c>
      <c r="H52" s="82" t="s">
        <v>100</v>
      </c>
      <c r="I52" s="91">
        <f>(94+112.6)*3</f>
        <v>619.8</v>
      </c>
      <c r="K52" s="43"/>
    </row>
    <row r="53" spans="1:11" ht="16.5" customHeight="1">
      <c r="A53" s="116" t="s">
        <v>11</v>
      </c>
      <c r="B53" s="110">
        <f>B50*0.0188</f>
        <v>687.7416000000001</v>
      </c>
      <c r="C53" s="110">
        <f>C50*0.0188</f>
        <v>687.7416000000001</v>
      </c>
      <c r="D53" s="110">
        <f t="shared" si="1"/>
        <v>1375.4832000000001</v>
      </c>
      <c r="E53" s="120"/>
      <c r="F53" s="131" t="s">
        <v>101</v>
      </c>
      <c r="G53" s="90">
        <f>IF(D52-C28&lt;45888,IF((0.25*(C16-B52*0.03)-0.05*(D52-C28-24108))&gt;0,(0.25*(C16-B52*0.03)-0.05*(D52-C28-24108)),0),0)</f>
        <v>0</v>
      </c>
      <c r="H53" s="82" t="s">
        <v>102</v>
      </c>
      <c r="I53" s="90">
        <f>IF(D52-1200&lt;26764,(MIN(0.21*(D50-4750),1862)-0.17*(D52-1200-15811)),0)</f>
        <v>0</v>
      </c>
      <c r="K53" s="43"/>
    </row>
    <row r="54" spans="1:9" ht="16.5" customHeight="1">
      <c r="A54" s="116" t="s">
        <v>12</v>
      </c>
      <c r="B54" s="110">
        <f>(B50-3500)*0.0495</f>
        <v>1637.559</v>
      </c>
      <c r="C54" s="110">
        <f>(C50-3500)*0.0495</f>
        <v>1637.559</v>
      </c>
      <c r="D54" s="110">
        <f t="shared" si="1"/>
        <v>3275.118</v>
      </c>
      <c r="E54" s="121"/>
      <c r="F54" s="124"/>
      <c r="G54" s="18"/>
      <c r="I54" s="18"/>
    </row>
    <row r="55" spans="1:9" ht="16.5" customHeight="1">
      <c r="A55" s="116" t="s">
        <v>13</v>
      </c>
      <c r="B55" s="110">
        <f>MAX(0,(B52*0.15-(11038+B53+B54+1117+(C16-B52*0.03))*0.15))</f>
        <v>1720.9739099999997</v>
      </c>
      <c r="C55" s="117">
        <f>C52*0.15-(11038+C53+C54+1117+2234+2234+(124*4+140+140)+((94+112.6)*3+120*8+20*8))*0.15</f>
        <v>2267.6849100000004</v>
      </c>
      <c r="D55" s="110">
        <f t="shared" si="1"/>
        <v>3988.65882</v>
      </c>
      <c r="E55" s="132"/>
      <c r="F55" s="60"/>
      <c r="G55" s="33"/>
      <c r="I55" s="33"/>
    </row>
    <row r="56" spans="1:9" ht="16.5" customHeight="1">
      <c r="A56" s="116" t="s">
        <v>24</v>
      </c>
      <c r="B56" s="110">
        <f>IF(D52-C28&lt;48118,IF((0.25*(C16-B52*0.03)-0.05*(D52-C28-25278))&gt;0,-1*(0.25*(C16-B52*0.03)-0.05*(D52-C28-25278)),0),0)</f>
        <v>0</v>
      </c>
      <c r="C56" s="110">
        <f>IF(D52-C28&lt;28062,-1*(MIN(0.21*(D50-4750),1952)-0.17*(D52-C28-16579)),0)</f>
        <v>0</v>
      </c>
      <c r="D56" s="110"/>
      <c r="E56" s="133"/>
      <c r="F56" s="60"/>
      <c r="G56" s="33"/>
      <c r="I56" s="33"/>
    </row>
    <row r="57" spans="1:8" ht="16.5" customHeight="1">
      <c r="A57" s="116" t="s">
        <v>14</v>
      </c>
      <c r="B57" s="110">
        <f>MAX(0,(B52*0.0506-(10276+B53+B54+(C16-B52*0.03))*0.0506-MAX(0,409-(B52-18181)*0.032)))</f>
        <v>541.8512656400001</v>
      </c>
      <c r="C57" s="117">
        <f>C52*0.0506-(10276+C53+C54+((94+112.6)*3+60*8))*0.0506-MAX(0,409-(C52-18181)*0.032)</f>
        <v>1157.7735096400002</v>
      </c>
      <c r="D57" s="110">
        <f t="shared" si="1"/>
        <v>1699.6247752800002</v>
      </c>
      <c r="E57" s="132"/>
      <c r="F57" s="23"/>
      <c r="H57" s="76"/>
    </row>
    <row r="58" spans="1:11" ht="16.5" customHeight="1">
      <c r="A58" s="116" t="s">
        <v>15</v>
      </c>
      <c r="B58" s="110">
        <f>B50-SUM(B53:B57)</f>
        <v>31993.87422436</v>
      </c>
      <c r="C58" s="110">
        <f>C50-SUM(C53:C57)</f>
        <v>30831.24098036</v>
      </c>
      <c r="D58" s="110">
        <f>B58+C58</f>
        <v>62825.11520472</v>
      </c>
      <c r="E58" s="60"/>
      <c r="F58" s="60"/>
      <c r="H58" s="76"/>
      <c r="I58" s="67"/>
      <c r="K58" s="18"/>
    </row>
    <row r="59" spans="1:8" ht="16.5" customHeight="1">
      <c r="A59" s="116" t="s">
        <v>33</v>
      </c>
      <c r="B59" s="110">
        <f>B58/12</f>
        <v>2666.1561853633334</v>
      </c>
      <c r="C59" s="110">
        <f>C58/12</f>
        <v>2569.2700816966667</v>
      </c>
      <c r="D59" s="110">
        <f>B59+C59</f>
        <v>5235.42626706</v>
      </c>
      <c r="E59" s="60"/>
      <c r="F59" s="60"/>
      <c r="H59" s="67"/>
    </row>
    <row r="60" spans="1:8" ht="16.5" customHeight="1">
      <c r="A60" s="135"/>
      <c r="B60" s="136"/>
      <c r="C60" s="136"/>
      <c r="D60" s="136"/>
      <c r="E60" s="60"/>
      <c r="F60" s="60"/>
      <c r="H60" s="36"/>
    </row>
    <row r="61" spans="1:10" ht="16.5" customHeight="1">
      <c r="A61" s="60"/>
      <c r="B61" s="134"/>
      <c r="C61" s="134"/>
      <c r="D61" s="134"/>
      <c r="E61" s="137"/>
      <c r="F61" s="137"/>
      <c r="G61" s="5"/>
      <c r="H61" s="18"/>
      <c r="I61" s="5"/>
      <c r="J61" s="13"/>
    </row>
    <row r="62" spans="1:10" ht="16.5" customHeight="1">
      <c r="A62" s="137" t="s">
        <v>70</v>
      </c>
      <c r="B62" s="137"/>
      <c r="C62" s="137"/>
      <c r="D62" s="137"/>
      <c r="E62" s="60"/>
      <c r="F62" s="60"/>
      <c r="J62" s="13"/>
    </row>
    <row r="63" spans="1:11" ht="16.5" customHeight="1">
      <c r="A63" s="60"/>
      <c r="B63" s="60"/>
      <c r="C63" s="60"/>
      <c r="D63" s="60"/>
      <c r="E63" s="60"/>
      <c r="F63" s="60"/>
      <c r="G63" s="18"/>
      <c r="J63" s="13"/>
      <c r="K63" s="13"/>
    </row>
    <row r="64" spans="1:14" s="5" customFormat="1" ht="16.5" customHeight="1">
      <c r="A64" s="138" t="s">
        <v>34</v>
      </c>
      <c r="B64" s="138"/>
      <c r="C64" s="138"/>
      <c r="D64" s="139">
        <f>D50</f>
        <v>73164</v>
      </c>
      <c r="E64" s="60"/>
      <c r="F64" s="60"/>
      <c r="G64"/>
      <c r="H64"/>
      <c r="I64"/>
      <c r="J64" s="13"/>
      <c r="K64" s="13"/>
      <c r="L64"/>
      <c r="M64"/>
      <c r="N64"/>
    </row>
    <row r="65" spans="1:11" ht="16.5" customHeight="1">
      <c r="A65" s="99" t="s">
        <v>38</v>
      </c>
      <c r="B65" s="99"/>
      <c r="C65" s="99"/>
      <c r="D65" s="111">
        <f>SUM(B53:B57)+SUM(C53:C57)</f>
        <v>10338.88479528</v>
      </c>
      <c r="J65" s="13"/>
      <c r="K65" s="13"/>
    </row>
    <row r="66" spans="1:14" ht="16.5" customHeight="1">
      <c r="A66" s="99" t="s">
        <v>35</v>
      </c>
      <c r="B66" s="99"/>
      <c r="C66" s="99"/>
      <c r="D66" s="111">
        <f>D64-D65</f>
        <v>62825.11520472</v>
      </c>
      <c r="K66" s="13"/>
      <c r="N66" s="5"/>
    </row>
    <row r="67" spans="1:13" ht="16.5" customHeight="1">
      <c r="A67" s="99" t="s">
        <v>72</v>
      </c>
      <c r="B67" s="99"/>
      <c r="C67" s="99"/>
      <c r="D67" s="111">
        <f>C33</f>
        <v>3391.768</v>
      </c>
      <c r="K67" s="13"/>
      <c r="M67" s="43"/>
    </row>
    <row r="68" spans="1:4" ht="16.5" customHeight="1">
      <c r="A68" s="99" t="s">
        <v>92</v>
      </c>
      <c r="B68" s="99"/>
      <c r="C68" s="99"/>
      <c r="D68" s="111">
        <f>D66+D67</f>
        <v>66216.88320472</v>
      </c>
    </row>
    <row r="69" spans="1:13" ht="16.5" customHeight="1">
      <c r="A69" s="99" t="s">
        <v>36</v>
      </c>
      <c r="B69" s="99"/>
      <c r="C69" s="99"/>
      <c r="D69" s="111">
        <f>C20</f>
        <v>66205.43243774626</v>
      </c>
      <c r="L69" s="5"/>
      <c r="M69" s="5"/>
    </row>
    <row r="70" spans="1:8" ht="16.5" customHeight="1">
      <c r="A70" s="99" t="s">
        <v>37</v>
      </c>
      <c r="B70" s="99"/>
      <c r="C70" s="99"/>
      <c r="D70" s="111">
        <f>D68-D69</f>
        <v>11.450766973735881</v>
      </c>
      <c r="H70" s="5"/>
    </row>
    <row r="71" spans="5:7" ht="16.5" customHeight="1">
      <c r="E71" s="5"/>
      <c r="F71" s="5"/>
      <c r="G71" s="5"/>
    </row>
    <row r="72" spans="3:8" ht="16.5" customHeight="1">
      <c r="C72" s="5"/>
      <c r="H72" s="9"/>
    </row>
    <row r="73" spans="2:9" ht="16.5" customHeight="1">
      <c r="B73" s="18"/>
      <c r="E73" s="9"/>
      <c r="F73" s="9"/>
      <c r="G73" s="9"/>
      <c r="I73" s="9"/>
    </row>
    <row r="74" spans="1:4" ht="12.75" customHeight="1">
      <c r="A74" s="9"/>
      <c r="B74" s="13"/>
      <c r="C74" s="13"/>
      <c r="D74" s="13"/>
    </row>
    <row r="75" spans="2:4" ht="12">
      <c r="B75" s="18"/>
      <c r="C75" s="38"/>
      <c r="D75" s="18"/>
    </row>
    <row r="76" spans="1:4" ht="15">
      <c r="A76" s="2"/>
      <c r="B76" s="18"/>
      <c r="C76" s="38"/>
      <c r="D76" s="18"/>
    </row>
    <row r="77" spans="2:3" ht="12">
      <c r="B77" s="18"/>
      <c r="C77" s="39"/>
    </row>
    <row r="78" spans="2:6" ht="12">
      <c r="B78" s="18"/>
      <c r="C78" s="39"/>
      <c r="E78" s="8"/>
      <c r="F78" s="8"/>
    </row>
    <row r="79" spans="2:6" ht="12">
      <c r="B79" s="8"/>
      <c r="C79" s="8"/>
      <c r="D79" s="8"/>
      <c r="E79" s="8"/>
      <c r="F79" s="8"/>
    </row>
    <row r="80" spans="2:6" ht="12">
      <c r="B80" s="8"/>
      <c r="C80" s="8"/>
      <c r="D80" s="8"/>
      <c r="E80" s="8"/>
      <c r="F80" s="8"/>
    </row>
    <row r="81" spans="2:6" ht="12">
      <c r="B81" s="8"/>
      <c r="C81" s="8"/>
      <c r="D81" s="8"/>
      <c r="E81" s="29"/>
      <c r="F81" s="41"/>
    </row>
    <row r="82" spans="4:6" ht="12">
      <c r="D82" s="29"/>
      <c r="E82" s="29"/>
      <c r="F82" s="41"/>
    </row>
    <row r="83" spans="4:6" ht="12">
      <c r="D83" s="29"/>
      <c r="E83" s="29"/>
      <c r="F83" s="41"/>
    </row>
    <row r="84" spans="4:6" ht="12">
      <c r="D84" s="29"/>
      <c r="E84" s="29"/>
      <c r="F84" s="41"/>
    </row>
    <row r="85" ht="12">
      <c r="D85" s="29"/>
    </row>
    <row r="87" spans="5:6" ht="12">
      <c r="E87" s="8"/>
      <c r="F87" s="8"/>
    </row>
    <row r="88" spans="2:6" ht="12">
      <c r="B88" s="8"/>
      <c r="C88" s="8"/>
      <c r="D88" s="8"/>
      <c r="E88" s="8"/>
      <c r="F88" s="8"/>
    </row>
    <row r="89" spans="2:6" ht="12">
      <c r="B89" s="8"/>
      <c r="C89" s="8"/>
      <c r="D89" s="8"/>
      <c r="E89" s="8"/>
      <c r="F89" s="8"/>
    </row>
    <row r="90" spans="2:6" ht="12">
      <c r="B90" s="8"/>
      <c r="C90" s="8"/>
      <c r="D90" s="8"/>
      <c r="E90" s="29"/>
      <c r="F90" s="41"/>
    </row>
    <row r="91" spans="4:6" ht="12">
      <c r="D91" s="29"/>
      <c r="E91" s="29"/>
      <c r="F91" s="41"/>
    </row>
    <row r="92" spans="4:6" ht="12">
      <c r="D92" s="29"/>
      <c r="E92" s="29"/>
      <c r="F92" s="41"/>
    </row>
    <row r="93" spans="4:6" ht="12">
      <c r="D93" s="29"/>
      <c r="E93" s="29"/>
      <c r="F93" s="41"/>
    </row>
    <row r="94" ht="12">
      <c r="D94" s="29"/>
    </row>
    <row r="95" spans="2:3" ht="12">
      <c r="B95" s="18"/>
      <c r="C95" s="38"/>
    </row>
    <row r="96" spans="2:4" ht="12">
      <c r="B96" s="18"/>
      <c r="C96" s="18"/>
      <c r="D96" s="18"/>
    </row>
    <row r="97" spans="2:3" ht="12">
      <c r="B97" s="18"/>
      <c r="C97" s="39"/>
    </row>
    <row r="98" spans="2:6" ht="12">
      <c r="B98" s="18"/>
      <c r="C98" s="39"/>
      <c r="E98" s="8"/>
      <c r="F98" s="8"/>
    </row>
    <row r="99" spans="2:6" ht="12">
      <c r="B99" s="8"/>
      <c r="C99" s="8"/>
      <c r="D99" s="8"/>
      <c r="E99" s="8"/>
      <c r="F99" s="8"/>
    </row>
    <row r="100" spans="2:6" ht="12">
      <c r="B100" s="8"/>
      <c r="C100" s="8"/>
      <c r="D100" s="8"/>
      <c r="E100" s="8"/>
      <c r="F100" s="8"/>
    </row>
    <row r="101" spans="2:6" ht="12">
      <c r="B101" s="8"/>
      <c r="C101" s="8"/>
      <c r="D101" s="8"/>
      <c r="E101" s="29"/>
      <c r="F101" s="41"/>
    </row>
    <row r="102" spans="4:6" ht="12">
      <c r="D102" s="29"/>
      <c r="E102" s="29"/>
      <c r="F102" s="41"/>
    </row>
    <row r="103" spans="4:6" ht="12">
      <c r="D103" s="29"/>
      <c r="E103" s="29"/>
      <c r="F103" s="41"/>
    </row>
    <row r="104" spans="4:6" ht="12">
      <c r="D104" s="29"/>
      <c r="E104" s="29"/>
      <c r="F104" s="41"/>
    </row>
    <row r="105" ht="12">
      <c r="D105" s="29"/>
    </row>
    <row r="107" spans="5:6" ht="12">
      <c r="E107" s="8"/>
      <c r="F107" s="8"/>
    </row>
    <row r="108" spans="2:6" ht="12">
      <c r="B108" s="8"/>
      <c r="C108" s="8"/>
      <c r="D108" s="8"/>
      <c r="E108" s="8"/>
      <c r="F108" s="8"/>
    </row>
    <row r="109" spans="2:6" ht="12">
      <c r="B109" s="8"/>
      <c r="C109" s="8"/>
      <c r="D109" s="8"/>
      <c r="E109" s="8"/>
      <c r="F109" s="8"/>
    </row>
    <row r="110" spans="2:6" ht="12">
      <c r="B110" s="8"/>
      <c r="C110" s="8"/>
      <c r="D110" s="8"/>
      <c r="E110" s="29"/>
      <c r="F110" s="41"/>
    </row>
    <row r="111" spans="4:6" ht="12">
      <c r="D111" s="29"/>
      <c r="E111" s="29"/>
      <c r="F111" s="41"/>
    </row>
    <row r="112" spans="4:6" ht="12">
      <c r="D112" s="29"/>
      <c r="E112" s="29"/>
      <c r="F112" s="41"/>
    </row>
    <row r="113" spans="4:6" ht="12">
      <c r="D113" s="29"/>
      <c r="E113" s="29"/>
      <c r="F113" s="41"/>
    </row>
    <row r="114" ht="12">
      <c r="D114" s="29"/>
    </row>
  </sheetData>
  <sheetProtection/>
  <printOptions gridLines="1"/>
  <pageMargins left="0.75" right="0.5" top="0.5" bottom="0.5"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UVic Faculty of Law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Richards</dc:creator>
  <cp:keywords/>
  <dc:description/>
  <cp:lastModifiedBy>Lindsey Bertrand</cp:lastModifiedBy>
  <cp:lastPrinted>2014-03-17T20:32:45Z</cp:lastPrinted>
  <dcterms:created xsi:type="dcterms:W3CDTF">2008-06-30T20:22:33Z</dcterms:created>
  <dcterms:modified xsi:type="dcterms:W3CDTF">2014-09-08T23:09:06Z</dcterms:modified>
  <cp:category/>
  <cp:version/>
  <cp:contentType/>
  <cp:contentStatus/>
</cp:coreProperties>
</file>