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28900" windowHeight="16780" tabRatio="500" activeTab="1"/>
  </bookViews>
  <sheets>
    <sheet name="First time LW calculation" sheetId="1" r:id="rId1"/>
    <sheet name="Using last year's LW income" sheetId="2" r:id="rId2"/>
    <sheet name="Family expenses" sheetId="3" r:id="rId3"/>
  </sheets>
  <definedNames/>
  <calcPr fullCalcOnLoad="1"/>
</workbook>
</file>

<file path=xl/sharedStrings.xml><?xml version="1.0" encoding="utf-8"?>
<sst xmlns="http://schemas.openxmlformats.org/spreadsheetml/2006/main" count="237" uniqueCount="145">
  <si>
    <t xml:space="preserve">      Two Parent, Two Children, Two Income Family</t>
  </si>
  <si>
    <t xml:space="preserve">        Children ages 4 and 7: 1 child in full-time child care, and 1 child in before and after school care and summer care. Family has a car and bus pass.</t>
  </si>
  <si>
    <t>Table I:  Family Expenses</t>
  </si>
  <si>
    <t>Item</t>
  </si>
  <si>
    <t>Monthly</t>
  </si>
  <si>
    <t>Annually</t>
  </si>
  <si>
    <t>% of Total</t>
  </si>
  <si>
    <t>Modified MBM</t>
  </si>
  <si>
    <t>Expenses</t>
  </si>
  <si>
    <t>Income</t>
  </si>
  <si>
    <t xml:space="preserve">    Food</t>
  </si>
  <si>
    <t xml:space="preserve">    Clothing and Footwear</t>
  </si>
  <si>
    <t xml:space="preserve">    Shelter</t>
  </si>
  <si>
    <t xml:space="preserve">    Transportation</t>
  </si>
  <si>
    <t>Subtotal</t>
  </si>
  <si>
    <t>Child Care</t>
  </si>
  <si>
    <t>MSP</t>
  </si>
  <si>
    <t>Parent Education</t>
  </si>
  <si>
    <t>Total</t>
  </si>
  <si>
    <t>=1405*2-(L30+M30-N27-42707)*0.04</t>
  </si>
  <si>
    <t>Table II:  Non-Wage Income (Government Transfers)</t>
  </si>
  <si>
    <t>Formula</t>
  </si>
  <si>
    <t>BR at FNI</t>
  </si>
  <si>
    <t>$0 at FNI</t>
  </si>
  <si>
    <t>No NCBS at FNI</t>
  </si>
  <si>
    <t>BC early childhood tax benefit</t>
  </si>
  <si>
    <t>GST</t>
  </si>
  <si>
    <t>RAP</t>
  </si>
  <si>
    <t>Use BC Housing RAP calculator http://www.bchousing.org/Options/Rental_market/RAP/Calculator</t>
  </si>
  <si>
    <t>BCLICATC</t>
  </si>
  <si>
    <t>Child Care Subs.</t>
  </si>
  <si>
    <t>Table III:  Family Income Less Family Expenses</t>
  </si>
  <si>
    <t>Provincial Child Care Subsidy Amount</t>
  </si>
  <si>
    <t>Available Annual Income</t>
  </si>
  <si>
    <t>Child</t>
  </si>
  <si>
    <t>Max. Subs.</t>
  </si>
  <si>
    <t>CT</t>
  </si>
  <si>
    <t>Amt of Subs.</t>
  </si>
  <si>
    <t>B51 (Adj.)</t>
  </si>
  <si>
    <t>Annual Family Expenses</t>
  </si>
  <si>
    <t>Gap</t>
  </si>
  <si>
    <t>Both Subs.</t>
  </si>
  <si>
    <t xml:space="preserve">                Table IV:  The Living Wage and Government Deductions and Taxes</t>
  </si>
  <si>
    <t>Parent 1</t>
  </si>
  <si>
    <t>Parent 2</t>
  </si>
  <si>
    <t>Hours / Week</t>
  </si>
  <si>
    <t>Division of Income, Expenses, Tax Credits</t>
  </si>
  <si>
    <t>Wage</t>
  </si>
  <si>
    <t>Employment Income</t>
  </si>
  <si>
    <t>Adjustments</t>
  </si>
  <si>
    <t>CC Exp.</t>
  </si>
  <si>
    <t>Transit Exp.</t>
  </si>
  <si>
    <t>Net Income</t>
  </si>
  <si>
    <t>Med. Exp.</t>
  </si>
  <si>
    <t>Tuition Exp.</t>
  </si>
  <si>
    <t>EI Premiums</t>
  </si>
  <si>
    <t>Ref. Med Exp. Supplement</t>
  </si>
  <si>
    <t>WITB</t>
  </si>
  <si>
    <t>CPP Premiums</t>
  </si>
  <si>
    <t>Fed. Income Tax</t>
  </si>
  <si>
    <t>Fed. Refundable TC</t>
  </si>
  <si>
    <t>Prov. Income Tax</t>
  </si>
  <si>
    <t>After Tax Income</t>
  </si>
  <si>
    <t>Monthly After Tax Inc.</t>
  </si>
  <si>
    <t xml:space="preserve">     Table V:  Family Income less Gov't Deductions and Taxes plus Gov't Transfers</t>
  </si>
  <si>
    <t>Total Annual Income from Employment</t>
  </si>
  <si>
    <t xml:space="preserve">  - EI, CPP, Fed. and Prov. Taxes</t>
  </si>
  <si>
    <t>Equals Family Take Home Pay</t>
  </si>
  <si>
    <t xml:space="preserve">  + CCTB, UCCB, GST, RAP, BCLICATC</t>
  </si>
  <si>
    <t>Equals Total Disposable Family Income</t>
  </si>
  <si>
    <t xml:space="preserve">  - Family Expenses</t>
  </si>
  <si>
    <t>Equals Income less expenses</t>
  </si>
  <si>
    <t xml:space="preserve">        Children ages 4 and 7: 1 child in full-time child care, and 1 child in before and after school care and summer care. Family has a car and bus pass for one of the parents.</t>
  </si>
  <si>
    <t>Table IIa:  Last Year's Family Income (For Government Transfers)</t>
  </si>
  <si>
    <t>Formula</t>
  </si>
  <si>
    <t>Employment income</t>
  </si>
  <si>
    <t>Childcare expenses claimed</t>
  </si>
  <si>
    <t>Adjustments</t>
  </si>
  <si>
    <t>Net Income</t>
  </si>
  <si>
    <t>EI Premiums</t>
  </si>
  <si>
    <t>CPP Premiums</t>
  </si>
  <si>
    <t>Fed. Income Tax</t>
  </si>
  <si>
    <t>Prov. Income Tax</t>
  </si>
  <si>
    <t>After Tax Income</t>
  </si>
  <si>
    <t>B51 (Adj.)</t>
  </si>
  <si>
    <t>Fed. Refundable TC</t>
  </si>
  <si>
    <t>Food:</t>
  </si>
  <si>
    <t>BC Average</t>
  </si>
  <si>
    <t>Monthly Food Cost:</t>
  </si>
  <si>
    <t>Clothing:</t>
  </si>
  <si>
    <t>Annual Clothing Cost:</t>
  </si>
  <si>
    <t>Shelter</t>
  </si>
  <si>
    <t>Utilities - using BC provincial data 2007</t>
  </si>
  <si>
    <t>Monthly Shelter Cost:</t>
  </si>
  <si>
    <t>Transportation</t>
  </si>
  <si>
    <t>Annual Transportation Cost:</t>
  </si>
  <si>
    <t>75.4% of combined expense for Food and Clothing</t>
  </si>
  <si>
    <t>(calculated on spreadsheet)</t>
  </si>
  <si>
    <t>Full time licensed group care, age 3-5, 12 months</t>
  </si>
  <si>
    <t>Annual Child Care Cost</t>
  </si>
  <si>
    <t>MSP Premiums</t>
  </si>
  <si>
    <t>Non-MSP Health Care Cost</t>
  </si>
  <si>
    <t>Pacific Blue Cross - Quoted - monthly payment</t>
  </si>
  <si>
    <t>Annual Parent Education Cost</t>
  </si>
  <si>
    <t>Median rent, 3+ bedroom apartment, CMHC</t>
  </si>
  <si>
    <t xml:space="preserve">Monthly Tenants insurance </t>
  </si>
  <si>
    <t>CPI 2007 Water, fuel and electricity - BC</t>
  </si>
  <si>
    <t>U-Pass for Student Parent - 8 months</t>
  </si>
  <si>
    <t>Public Transit Pass -2 zone, 4 months</t>
  </si>
  <si>
    <t>Summer programs, 1 month &amp; 2 weeks, school age</t>
  </si>
  <si>
    <t>Full-day care during winter &amp; spring school breaks, 3 weeks</t>
  </si>
  <si>
    <t>(eligibility for premium assistance calculated on spreadsheet)</t>
  </si>
  <si>
    <t>Student Fees (per semester)</t>
  </si>
  <si>
    <t>3-Credit courses at Douglas College (each)</t>
  </si>
  <si>
    <t>Textbook allowances - $125 per course</t>
  </si>
  <si>
    <t>Child Fitness &amp; Arts Tax Cr.</t>
  </si>
  <si>
    <t>Average monthly cost of food basket in BC - 2015</t>
  </si>
  <si>
    <t>1st threshold</t>
  </si>
  <si>
    <t>2nd threshold</t>
  </si>
  <si>
    <t>No CTB at FNI</t>
  </si>
  <si>
    <t>Out of School Care, 10 months (incl. 6 PD days)</t>
  </si>
  <si>
    <t>2016 LW  Incomes</t>
  </si>
  <si>
    <t>Use BC Housing RAP calculator http://www.bchousing.org/Options/Rental_market/RAP/Calculator</t>
  </si>
  <si>
    <t xml:space="preserve"> Living Wage Calculation: Vancouver - April 2017:  35 hrs/wk + 35 hrs/wk</t>
  </si>
  <si>
    <t>MBM 2014 - all community sizes</t>
  </si>
  <si>
    <t>CPI 2016 Water, fuel and electricity - BC</t>
  </si>
  <si>
    <t>MBM 2014 - Transportation, BC rural (single car)</t>
  </si>
  <si>
    <t>CPI 2016 Operation of Passenger Vehicles - BC</t>
  </si>
  <si>
    <t>CCB</t>
  </si>
  <si>
    <t>Back-to-School Tax Cr</t>
  </si>
  <si>
    <t>UCCB claimed</t>
  </si>
  <si>
    <t>CPI 2014 Operation of Passenger Vehicles - BC</t>
  </si>
  <si>
    <t>CPI 2015 Food - BC</t>
  </si>
  <si>
    <t>CPI 2016 Food - BC</t>
  </si>
  <si>
    <t>CPI 2014 Clothing - BC</t>
  </si>
  <si>
    <t>CPI 2016 Clothing - BC</t>
  </si>
  <si>
    <t>Most of these amounts can be verified with CRA's Child and family benefits calculator http://www.cra-arc.gc.ca/bnfts/clcltr/cfbc-eng.html</t>
  </si>
  <si>
    <t>Back-to-School Tax Cr.</t>
  </si>
  <si>
    <t>Health service delivery area average (For Metro Van, this is a weighted average of Fraser South, Fraser North, Vancouver, Richmond and North Shore/Coast Garibaldi (North Van &amp; West Van-Bowen Island Local health areas only))</t>
  </si>
  <si>
    <t>Monthly Internet service (cheapest available)</t>
  </si>
  <si>
    <t>Monthly cost for 2 cell phones (cheapest unlimited text &amp; talk plan)</t>
  </si>
  <si>
    <t xml:space="preserve">    Other Household Expenses</t>
  </si>
  <si>
    <t>Non MSP Health Expenses</t>
  </si>
  <si>
    <t>Other Household Expenses:</t>
  </si>
  <si>
    <t>Contingency Fund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</si>
</sst>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_(* #,##0_);_(* \(#,##0\);_(* &quot;-&quot;??_);_(@_)"/>
    <numFmt numFmtId="176" formatCode="&quot;$&quot;#,##0"/>
    <numFmt numFmtId="177" formatCode="&quot;$&quot;#,##0.00"/>
    <numFmt numFmtId="178" formatCode="_(* #,##0.0_);_(* \(#,##0.0\);_(* &quot;-&quot;??_);_(@_)"/>
    <numFmt numFmtId="179" formatCode="_(* #,##0.0_);_(* \(#,##0.0\);_(* &quot;-&quot;?_);_(@_)"/>
    <numFmt numFmtId="180" formatCode="_(* #,##0.000_);_(* \(#,##0.000\);_(* &quot;-&quot;???_);_(@_)"/>
    <numFmt numFmtId="181" formatCode="_-* #,##0.0_-;\-* #,##0.0_-;_-* &quot;-&quot;?_-;_-@_-"/>
    <numFmt numFmtId="182" formatCode="0.0"/>
    <numFmt numFmtId="183" formatCode="_-[$$-409]* #,##0.00_ ;_-[$$-409]* \-#,##0.00\ ;_-[$$-409]* &quot;-&quot;??_ ;_-@_ "/>
    <numFmt numFmtId="184" formatCode="&quot;$&quot;#,##0.00;[Red]&quot;$&quot;#,##0.00"/>
    <numFmt numFmtId="185" formatCode="&quot;$&quot;#,##0.0;[Red]&quot;$&quot;#,##0.0"/>
    <numFmt numFmtId="186" formatCode="&quot;$&quot;#,##0;[Red]&quot;$&quot;#,##0"/>
    <numFmt numFmtId="187" formatCode="_-* #,##0.000_-;\-* #,##0.000_-;_-* &quot;-&quot;???_-;_-@_-"/>
    <numFmt numFmtId="188" formatCode="&quot;$&quot;#,##0.000"/>
    <numFmt numFmtId="189" formatCode="&quot;$&quot;#,##0.0000"/>
  </numFmts>
  <fonts count="50">
    <font>
      <sz val="10"/>
      <name val="Arial"/>
      <family val="0"/>
    </font>
    <font>
      <sz val="12"/>
      <color indexed="8"/>
      <name val="Calibri"/>
      <family val="2"/>
    </font>
    <font>
      <sz val="14"/>
      <name val="Arial"/>
      <family val="2"/>
    </font>
    <font>
      <sz val="12"/>
      <name val="Arial"/>
      <family val="2"/>
    </font>
    <font>
      <b/>
      <sz val="12"/>
      <name val="Arial"/>
      <family val="2"/>
    </font>
    <font>
      <b/>
      <sz val="10"/>
      <name val="Arial"/>
      <family val="2"/>
    </font>
    <font>
      <b/>
      <sz val="8"/>
      <name val="Arial"/>
      <family val="2"/>
    </font>
    <font>
      <sz val="8"/>
      <name val="Arial"/>
      <family val="0"/>
    </font>
    <font>
      <sz val="10"/>
      <name val="Verdana"/>
      <family val="0"/>
    </font>
    <font>
      <b/>
      <sz val="8"/>
      <name val="Verdana"/>
      <family val="0"/>
    </font>
    <font>
      <b/>
      <sz val="10"/>
      <name val="Verdana"/>
      <family val="0"/>
    </font>
    <font>
      <b/>
      <sz val="18"/>
      <color indexed="56"/>
      <name val="Cambri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1"/>
      <color indexed="8"/>
      <name val="Verdana"/>
      <family val="0"/>
    </font>
    <font>
      <sz val="10"/>
      <color indexed="12"/>
      <name val="Arial"/>
      <family val="0"/>
    </font>
    <font>
      <sz val="10"/>
      <color indexed="8"/>
      <name val="Verdana"/>
      <family val="0"/>
    </font>
    <font>
      <sz val="10"/>
      <color indexed="1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Verdana"/>
      <family val="0"/>
    </font>
    <font>
      <sz val="10"/>
      <color rgb="FF0000FF"/>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17"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xf>
    <xf numFmtId="172" fontId="0" fillId="0" borderId="0" xfId="57" applyNumberFormat="1" applyFont="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right"/>
    </xf>
    <xf numFmtId="0" fontId="7" fillId="0" borderId="0" xfId="0" applyFont="1" applyBorder="1" applyAlignment="1">
      <alignment horizontal="left"/>
    </xf>
    <xf numFmtId="2" fontId="7" fillId="0" borderId="0" xfId="0" applyNumberFormat="1" applyFont="1" applyBorder="1" applyAlignment="1">
      <alignment horizontal="right"/>
    </xf>
    <xf numFmtId="0" fontId="5" fillId="0" borderId="0" xfId="0" applyFont="1" applyAlignment="1">
      <alignment horizontal="left"/>
    </xf>
    <xf numFmtId="0" fontId="8" fillId="0" borderId="10" xfId="0" applyFont="1" applyBorder="1" applyAlignment="1">
      <alignment/>
    </xf>
    <xf numFmtId="2" fontId="8" fillId="0" borderId="10" xfId="0" applyNumberFormat="1" applyFont="1" applyBorder="1" applyAlignment="1">
      <alignment/>
    </xf>
    <xf numFmtId="0" fontId="6" fillId="0" borderId="10" xfId="0" applyFont="1" applyBorder="1" applyAlignment="1">
      <alignment/>
    </xf>
    <xf numFmtId="0" fontId="7" fillId="0" borderId="0" xfId="0" applyFont="1" applyBorder="1" applyAlignment="1">
      <alignment horizontal="right"/>
    </xf>
    <xf numFmtId="2" fontId="7" fillId="0" borderId="0" xfId="0" applyNumberFormat="1" applyFont="1" applyBorder="1" applyAlignment="1">
      <alignment horizontal="left"/>
    </xf>
    <xf numFmtId="2" fontId="0" fillId="0" borderId="0" xfId="0" applyNumberFormat="1" applyBorder="1" applyAlignment="1">
      <alignment/>
    </xf>
    <xf numFmtId="2" fontId="0" fillId="0" borderId="0" xfId="0" applyNumberFormat="1" applyAlignment="1">
      <alignment/>
    </xf>
    <xf numFmtId="0" fontId="0" fillId="0" borderId="0" xfId="0" applyAlignment="1">
      <alignment horizontal="left"/>
    </xf>
    <xf numFmtId="0" fontId="0" fillId="0" borderId="0" xfId="0" applyAlignment="1">
      <alignment horizontal="center"/>
    </xf>
    <xf numFmtId="172" fontId="7" fillId="0" borderId="10" xfId="57" applyNumberFormat="1" applyFont="1" applyBorder="1" applyAlignment="1">
      <alignment horizontal="center"/>
    </xf>
    <xf numFmtId="2" fontId="6" fillId="0" borderId="0" xfId="0" applyNumberFormat="1" applyFont="1" applyBorder="1" applyAlignment="1">
      <alignment horizontal="left"/>
    </xf>
    <xf numFmtId="2" fontId="6" fillId="0" borderId="0" xfId="0" applyNumberFormat="1" applyFont="1" applyAlignment="1">
      <alignment/>
    </xf>
    <xf numFmtId="173" fontId="7" fillId="0" borderId="0" xfId="0" applyNumberFormat="1" applyFont="1" applyBorder="1" applyAlignment="1">
      <alignment horizontal="right"/>
    </xf>
    <xf numFmtId="174" fontId="7" fillId="0" borderId="0" xfId="0" applyNumberFormat="1" applyFont="1" applyAlignment="1">
      <alignment/>
    </xf>
    <xf numFmtId="172" fontId="0" fillId="0" borderId="0" xfId="0" applyNumberFormat="1" applyAlignment="1">
      <alignment/>
    </xf>
    <xf numFmtId="0" fontId="7" fillId="0" borderId="0" xfId="0" applyFont="1" applyAlignment="1">
      <alignment/>
    </xf>
    <xf numFmtId="2" fontId="7" fillId="0" borderId="0" xfId="0" applyNumberFormat="1" applyFont="1" applyAlignment="1">
      <alignment/>
    </xf>
    <xf numFmtId="173" fontId="7" fillId="0" borderId="0" xfId="0" applyNumberFormat="1" applyFont="1" applyBorder="1" applyAlignment="1">
      <alignment horizontal="left"/>
    </xf>
    <xf numFmtId="2" fontId="7" fillId="0" borderId="0" xfId="0" applyNumberFormat="1" applyFont="1" applyBorder="1" applyAlignment="1">
      <alignment/>
    </xf>
    <xf numFmtId="172" fontId="0" fillId="0" borderId="0" xfId="57" applyNumberFormat="1" applyFont="1" applyBorder="1" applyAlignment="1">
      <alignment/>
    </xf>
    <xf numFmtId="2" fontId="6" fillId="0" borderId="0" xfId="0" applyNumberFormat="1" applyFont="1" applyBorder="1" applyAlignment="1">
      <alignment/>
    </xf>
    <xf numFmtId="0" fontId="9" fillId="0" borderId="10" xfId="0" applyFont="1" applyBorder="1" applyAlignment="1">
      <alignment/>
    </xf>
    <xf numFmtId="172" fontId="6" fillId="0" borderId="10" xfId="57" applyNumberFormat="1" applyFont="1" applyBorder="1" applyAlignment="1">
      <alignment horizontal="center"/>
    </xf>
    <xf numFmtId="0" fontId="6" fillId="0" borderId="0" xfId="0" applyFont="1" applyAlignment="1">
      <alignment/>
    </xf>
    <xf numFmtId="1" fontId="0" fillId="0" borderId="0" xfId="0" applyNumberFormat="1" applyAlignment="1">
      <alignment/>
    </xf>
    <xf numFmtId="2" fontId="0" fillId="0" borderId="0" xfId="0" applyNumberFormat="1" applyBorder="1" applyAlignment="1" quotePrefix="1">
      <alignment/>
    </xf>
    <xf numFmtId="2" fontId="6" fillId="0" borderId="0" xfId="0" applyNumberFormat="1" applyFont="1" applyBorder="1" applyAlignment="1" quotePrefix="1">
      <alignment horizontal="center"/>
    </xf>
    <xf numFmtId="2" fontId="6" fillId="0" borderId="0" xfId="0" applyNumberFormat="1" applyFont="1" applyBorder="1" applyAlignment="1">
      <alignment horizontal="center"/>
    </xf>
    <xf numFmtId="2" fontId="7" fillId="0" borderId="0" xfId="0" applyNumberFormat="1" applyFont="1" applyBorder="1" applyAlignment="1" quotePrefix="1">
      <alignment/>
    </xf>
    <xf numFmtId="0" fontId="0" fillId="0" borderId="0" xfId="0" applyFill="1" applyBorder="1" applyAlignment="1" quotePrefix="1">
      <alignment/>
    </xf>
    <xf numFmtId="0" fontId="0" fillId="0" borderId="0" xfId="0" applyAlignment="1" quotePrefix="1">
      <alignment/>
    </xf>
    <xf numFmtId="0" fontId="0" fillId="0" borderId="0" xfId="0" applyFont="1" applyAlignment="1">
      <alignment horizontal="center"/>
    </xf>
    <xf numFmtId="172" fontId="5" fillId="0" borderId="0" xfId="57" applyNumberFormat="1" applyFont="1" applyAlignment="1">
      <alignment/>
    </xf>
    <xf numFmtId="172" fontId="5" fillId="0" borderId="0" xfId="0" applyNumberFormat="1" applyFont="1" applyAlignment="1">
      <alignment/>
    </xf>
    <xf numFmtId="0" fontId="5" fillId="0" borderId="10" xfId="0" applyFont="1" applyBorder="1" applyAlignment="1">
      <alignment horizontal="lef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right"/>
    </xf>
    <xf numFmtId="43" fontId="7" fillId="0" borderId="0" xfId="42" applyFont="1" applyAlignment="1">
      <alignment/>
    </xf>
    <xf numFmtId="175" fontId="7" fillId="0" borderId="0" xfId="42" applyNumberFormat="1" applyFont="1" applyAlignment="1">
      <alignment/>
    </xf>
    <xf numFmtId="0" fontId="7" fillId="0" borderId="0" xfId="0" applyFont="1" applyAlignment="1" quotePrefix="1">
      <alignment horizontal="left"/>
    </xf>
    <xf numFmtId="175" fontId="0" fillId="0" borderId="0" xfId="0" applyNumberFormat="1" applyAlignment="1">
      <alignment/>
    </xf>
    <xf numFmtId="0" fontId="6" fillId="0" borderId="0" xfId="0" applyFont="1" applyAlignment="1" quotePrefix="1">
      <alignment horizontal="center"/>
    </xf>
    <xf numFmtId="175" fontId="7" fillId="0" borderId="0" xfId="0" applyNumberFormat="1" applyFont="1" applyAlignment="1">
      <alignment/>
    </xf>
    <xf numFmtId="2" fontId="7" fillId="0" borderId="0" xfId="0" applyNumberFormat="1" applyFont="1" applyAlignment="1" quotePrefix="1">
      <alignment/>
    </xf>
    <xf numFmtId="2" fontId="5"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2" fontId="0" fillId="0" borderId="0" xfId="0" applyNumberFormat="1" applyAlignment="1" quotePrefix="1">
      <alignment/>
    </xf>
    <xf numFmtId="2" fontId="6" fillId="0" borderId="10" xfId="0" applyNumberFormat="1" applyFont="1" applyBorder="1" applyAlignment="1">
      <alignment horizontal="center"/>
    </xf>
    <xf numFmtId="0" fontId="6" fillId="0" borderId="10" xfId="0" applyFont="1" applyFill="1" applyBorder="1" applyAlignment="1">
      <alignment horizontal="center"/>
    </xf>
    <xf numFmtId="2" fontId="6" fillId="0" borderId="10" xfId="0" applyNumberFormat="1" applyFont="1" applyFill="1" applyBorder="1" applyAlignment="1">
      <alignment horizontal="center"/>
    </xf>
    <xf numFmtId="0" fontId="0" fillId="0" borderId="0" xfId="0" applyFill="1" applyAlignment="1">
      <alignment/>
    </xf>
    <xf numFmtId="2" fontId="6" fillId="0" borderId="10" xfId="0" applyNumberFormat="1" applyFont="1" applyFill="1" applyBorder="1" applyAlignment="1">
      <alignment/>
    </xf>
    <xf numFmtId="2" fontId="4" fillId="0" borderId="0" xfId="0" applyNumberFormat="1" applyFont="1" applyAlignment="1">
      <alignment/>
    </xf>
    <xf numFmtId="2" fontId="5" fillId="0" borderId="0" xfId="0" applyNumberFormat="1" applyFont="1" applyAlignment="1">
      <alignment horizontal="center"/>
    </xf>
    <xf numFmtId="2" fontId="7" fillId="0" borderId="10" xfId="0" applyNumberFormat="1" applyFont="1" applyBorder="1" applyAlignment="1">
      <alignment/>
    </xf>
    <xf numFmtId="2" fontId="0" fillId="0" borderId="0" xfId="0" applyNumberFormat="1" applyFont="1" applyAlignment="1">
      <alignment/>
    </xf>
    <xf numFmtId="2" fontId="8" fillId="0" borderId="10" xfId="0" applyNumberFormat="1" applyFont="1" applyFill="1" applyBorder="1" applyAlignment="1">
      <alignment horizontal="right"/>
    </xf>
    <xf numFmtId="0" fontId="10" fillId="0" borderId="10" xfId="0" applyFont="1" applyBorder="1" applyAlignment="1">
      <alignment/>
    </xf>
    <xf numFmtId="0" fontId="7" fillId="0" borderId="10" xfId="0" applyFont="1" applyBorder="1" applyAlignment="1">
      <alignment/>
    </xf>
    <xf numFmtId="176" fontId="7" fillId="0" borderId="10" xfId="0" applyNumberFormat="1" applyFont="1" applyBorder="1" applyAlignment="1">
      <alignment/>
    </xf>
    <xf numFmtId="176" fontId="7" fillId="33" borderId="10" xfId="0" applyNumberFormat="1" applyFont="1" applyFill="1" applyBorder="1" applyAlignment="1">
      <alignment/>
    </xf>
    <xf numFmtId="177" fontId="7" fillId="0" borderId="10" xfId="0" applyNumberFormat="1" applyFont="1" applyBorder="1" applyAlignment="1">
      <alignment/>
    </xf>
    <xf numFmtId="177" fontId="7" fillId="33" borderId="10" xfId="0" applyNumberFormat="1" applyFont="1" applyFill="1" applyBorder="1" applyAlignment="1">
      <alignment/>
    </xf>
    <xf numFmtId="0" fontId="0" fillId="0" borderId="0" xfId="0" applyBorder="1" applyAlignment="1">
      <alignment horizontal="center"/>
    </xf>
    <xf numFmtId="176" fontId="7" fillId="0" borderId="0" xfId="0" applyNumberFormat="1" applyFont="1" applyBorder="1" applyAlignment="1">
      <alignment/>
    </xf>
    <xf numFmtId="0" fontId="7" fillId="0" borderId="0" xfId="0" applyFont="1" applyBorder="1" applyAlignment="1">
      <alignment/>
    </xf>
    <xf numFmtId="0" fontId="0" fillId="0" borderId="0" xfId="0" applyFont="1" applyAlignment="1" quotePrefix="1">
      <alignment/>
    </xf>
    <xf numFmtId="2" fontId="8" fillId="0" borderId="0" xfId="0" applyNumberFormat="1" applyFont="1" applyBorder="1" applyAlignment="1">
      <alignment/>
    </xf>
    <xf numFmtId="0" fontId="8" fillId="0" borderId="0" xfId="0" applyFont="1" applyAlignment="1">
      <alignment/>
    </xf>
    <xf numFmtId="2" fontId="8" fillId="0" borderId="0" xfId="0" applyNumberFormat="1" applyFont="1" applyAlignment="1">
      <alignment/>
    </xf>
    <xf numFmtId="4" fontId="0" fillId="0" borderId="0" xfId="0" applyNumberFormat="1" applyAlignment="1">
      <alignment/>
    </xf>
    <xf numFmtId="173" fontId="7" fillId="0" borderId="0" xfId="0" applyNumberFormat="1" applyFont="1" applyAlignment="1">
      <alignment horizontal="right"/>
    </xf>
    <xf numFmtId="4" fontId="5" fillId="0" borderId="0" xfId="0" applyNumberFormat="1" applyFont="1" applyAlignment="1">
      <alignment/>
    </xf>
    <xf numFmtId="9" fontId="0" fillId="0" borderId="0" xfId="57" applyNumberFormat="1" applyFont="1" applyAlignment="1">
      <alignment/>
    </xf>
    <xf numFmtId="17" fontId="10" fillId="0" borderId="0" xfId="0" applyNumberFormat="1" applyFont="1" applyAlignment="1">
      <alignment horizontal="right"/>
    </xf>
    <xf numFmtId="0" fontId="10" fillId="0" borderId="0" xfId="0" applyFont="1" applyAlignment="1">
      <alignment horizontal="left"/>
    </xf>
    <xf numFmtId="2" fontId="0" fillId="0" borderId="10" xfId="0" applyNumberFormat="1" applyBorder="1" applyAlignment="1">
      <alignment/>
    </xf>
    <xf numFmtId="0" fontId="8" fillId="0" borderId="10" xfId="0" applyFont="1" applyFill="1" applyBorder="1" applyAlignment="1">
      <alignment/>
    </xf>
    <xf numFmtId="2" fontId="6" fillId="0" borderId="0" xfId="0" applyNumberFormat="1" applyFont="1" applyBorder="1" applyAlignment="1" quotePrefix="1">
      <alignment/>
    </xf>
    <xf numFmtId="0" fontId="8" fillId="34"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center"/>
    </xf>
    <xf numFmtId="2" fontId="0" fillId="0" borderId="0" xfId="0" applyNumberFormat="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xf>
    <xf numFmtId="2" fontId="4" fillId="0" borderId="0" xfId="0" applyNumberFormat="1" applyFont="1" applyFill="1" applyAlignment="1">
      <alignment/>
    </xf>
    <xf numFmtId="0" fontId="5" fillId="0" borderId="0" xfId="0" applyFont="1" applyFill="1" applyAlignment="1">
      <alignment horizontal="center"/>
    </xf>
    <xf numFmtId="0" fontId="0" fillId="0" borderId="0" xfId="0" applyFill="1" applyAlignment="1">
      <alignment horizontal="center"/>
    </xf>
    <xf numFmtId="0" fontId="8" fillId="0" borderId="10" xfId="0" applyFont="1" applyFill="1" applyBorder="1" applyAlignment="1">
      <alignment horizontal="right"/>
    </xf>
    <xf numFmtId="0" fontId="0" fillId="0" borderId="0" xfId="0" applyFont="1" applyFill="1" applyAlignment="1">
      <alignment/>
    </xf>
    <xf numFmtId="0" fontId="10" fillId="0" borderId="10" xfId="0" applyFont="1" applyFill="1" applyBorder="1" applyAlignment="1">
      <alignment/>
    </xf>
    <xf numFmtId="173" fontId="7" fillId="0" borderId="0" xfId="0" applyNumberFormat="1" applyFont="1" applyFill="1" applyAlignment="1">
      <alignment horizontal="right"/>
    </xf>
    <xf numFmtId="0" fontId="7" fillId="0" borderId="0" xfId="0" applyFont="1" applyFill="1" applyAlignment="1">
      <alignment horizontal="right"/>
    </xf>
    <xf numFmtId="0" fontId="6" fillId="0" borderId="0" xfId="0" applyFont="1" applyFill="1" applyAlignment="1">
      <alignment/>
    </xf>
    <xf numFmtId="2" fontId="7" fillId="0" borderId="0" xfId="0" applyNumberFormat="1" applyFont="1" applyFill="1" applyAlignment="1">
      <alignment/>
    </xf>
    <xf numFmtId="0" fontId="0" fillId="0" borderId="0" xfId="0" applyFill="1" applyBorder="1" applyAlignment="1">
      <alignment/>
    </xf>
    <xf numFmtId="2" fontId="0" fillId="0" borderId="0" xfId="0" applyNumberFormat="1" applyFill="1" applyBorder="1" applyAlignment="1">
      <alignment/>
    </xf>
    <xf numFmtId="2" fontId="0" fillId="0" borderId="0" xfId="0" applyNumberFormat="1" applyFill="1" applyAlignment="1">
      <alignment/>
    </xf>
    <xf numFmtId="0" fontId="4"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8" fillId="0" borderId="0" xfId="0" applyFont="1" applyBorder="1" applyAlignment="1">
      <alignment/>
    </xf>
    <xf numFmtId="0" fontId="10" fillId="0" borderId="0" xfId="0" applyFont="1" applyAlignment="1">
      <alignment/>
    </xf>
    <xf numFmtId="0" fontId="8" fillId="0" borderId="0" xfId="0" applyFont="1" applyAlignment="1">
      <alignment wrapText="1"/>
    </xf>
    <xf numFmtId="0" fontId="8" fillId="33" borderId="0" xfId="0" applyFont="1" applyFill="1" applyAlignment="1">
      <alignment/>
    </xf>
    <xf numFmtId="0" fontId="48" fillId="0" borderId="0" xfId="0" applyFont="1" applyAlignment="1">
      <alignment/>
    </xf>
    <xf numFmtId="43" fontId="8" fillId="33" borderId="0" xfId="42" applyFont="1" applyFill="1" applyAlignment="1">
      <alignment/>
    </xf>
    <xf numFmtId="43" fontId="8" fillId="0" borderId="0" xfId="42" applyFont="1" applyAlignment="1">
      <alignment/>
    </xf>
    <xf numFmtId="43" fontId="8" fillId="0" borderId="0" xfId="42" applyFont="1" applyFill="1" applyAlignment="1">
      <alignment/>
    </xf>
    <xf numFmtId="178" fontId="8" fillId="0" borderId="0" xfId="42" applyNumberFormat="1" applyFont="1" applyAlignment="1">
      <alignment/>
    </xf>
    <xf numFmtId="0" fontId="10" fillId="0" borderId="0" xfId="0" applyFont="1" applyAlignment="1" quotePrefix="1">
      <alignment/>
    </xf>
    <xf numFmtId="0" fontId="8" fillId="0" borderId="0" xfId="0" applyFont="1" applyAlignment="1" quotePrefix="1">
      <alignment/>
    </xf>
    <xf numFmtId="43" fontId="8" fillId="0" borderId="0" xfId="0" applyNumberFormat="1" applyFont="1" applyAlignment="1">
      <alignment/>
    </xf>
    <xf numFmtId="172" fontId="8" fillId="0" borderId="0" xfId="57" applyNumberFormat="1" applyFont="1" applyAlignment="1">
      <alignment/>
    </xf>
    <xf numFmtId="43" fontId="10" fillId="0" borderId="0" xfId="42" applyFont="1" applyAlignment="1">
      <alignment/>
    </xf>
    <xf numFmtId="43" fontId="10" fillId="0" borderId="0" xfId="42" applyFont="1" applyFill="1" applyAlignment="1">
      <alignment/>
    </xf>
    <xf numFmtId="43" fontId="8" fillId="0" borderId="0" xfId="0" applyNumberFormat="1" applyFont="1" applyAlignment="1">
      <alignment wrapText="1"/>
    </xf>
    <xf numFmtId="177" fontId="0" fillId="0" borderId="0" xfId="0" applyNumberFormat="1" applyAlignment="1">
      <alignment/>
    </xf>
    <xf numFmtId="172" fontId="8" fillId="0" borderId="0" xfId="57" applyNumberFormat="1" applyFont="1" applyAlignment="1">
      <alignment wrapText="1"/>
    </xf>
    <xf numFmtId="4" fontId="8" fillId="33" borderId="10" xfId="0" applyNumberFormat="1" applyFont="1" applyFill="1" applyBorder="1" applyAlignment="1">
      <alignment/>
    </xf>
    <xf numFmtId="2" fontId="0" fillId="0" borderId="0" xfId="0" applyNumberFormat="1" applyFill="1" applyAlignment="1" quotePrefix="1">
      <alignment/>
    </xf>
    <xf numFmtId="4" fontId="0" fillId="0" borderId="0" xfId="0" applyNumberFormat="1" applyFill="1" applyAlignment="1">
      <alignment/>
    </xf>
    <xf numFmtId="4" fontId="8" fillId="0" borderId="10" xfId="0" applyNumberFormat="1" applyFont="1" applyBorder="1" applyAlignment="1">
      <alignment/>
    </xf>
    <xf numFmtId="4" fontId="9" fillId="0" borderId="10" xfId="0" applyNumberFormat="1" applyFont="1" applyBorder="1" applyAlignment="1">
      <alignment/>
    </xf>
    <xf numFmtId="4" fontId="10" fillId="0" borderId="10" xfId="0" applyNumberFormat="1" applyFont="1" applyFill="1" applyBorder="1" applyAlignment="1">
      <alignment/>
    </xf>
    <xf numFmtId="4" fontId="10" fillId="0" borderId="10" xfId="0" applyNumberFormat="1" applyFont="1" applyFill="1" applyBorder="1" applyAlignment="1">
      <alignment horizontal="center"/>
    </xf>
    <xf numFmtId="4" fontId="8" fillId="0" borderId="10" xfId="0" applyNumberFormat="1" applyFont="1" applyFill="1" applyBorder="1" applyAlignment="1">
      <alignment/>
    </xf>
    <xf numFmtId="4" fontId="8" fillId="34" borderId="10" xfId="0" applyNumberFormat="1" applyFont="1" applyFill="1" applyBorder="1" applyAlignment="1">
      <alignment/>
    </xf>
    <xf numFmtId="4" fontId="0" fillId="0" borderId="0" xfId="0" applyNumberFormat="1" applyBorder="1" applyAlignment="1">
      <alignment/>
    </xf>
    <xf numFmtId="4" fontId="5" fillId="0" borderId="0" xfId="0" applyNumberFormat="1" applyFont="1" applyAlignment="1">
      <alignment horizontal="center"/>
    </xf>
    <xf numFmtId="4" fontId="5" fillId="0" borderId="10" xfId="0" applyNumberFormat="1" applyFont="1" applyBorder="1" applyAlignment="1">
      <alignment horizontal="center"/>
    </xf>
    <xf numFmtId="4" fontId="8" fillId="0" borderId="10" xfId="0" applyNumberFormat="1" applyFont="1" applyBorder="1" applyAlignment="1">
      <alignment horizontal="right"/>
    </xf>
    <xf numFmtId="4" fontId="8" fillId="0" borderId="10" xfId="0" applyNumberFormat="1" applyFont="1" applyFill="1" applyBorder="1" applyAlignment="1">
      <alignment horizontal="right"/>
    </xf>
    <xf numFmtId="4" fontId="10" fillId="0" borderId="10" xfId="0" applyNumberFormat="1" applyFont="1" applyBorder="1" applyAlignment="1">
      <alignment/>
    </xf>
    <xf numFmtId="4" fontId="10" fillId="0" borderId="10" xfId="0" applyNumberFormat="1" applyFont="1" applyBorder="1" applyAlignment="1">
      <alignment horizontal="center"/>
    </xf>
    <xf numFmtId="4" fontId="0" fillId="0" borderId="0" xfId="0" applyNumberFormat="1" applyAlignment="1" quotePrefix="1">
      <alignment/>
    </xf>
    <xf numFmtId="171" fontId="8" fillId="0" borderId="0" xfId="0" applyNumberFormat="1" applyFont="1" applyAlignment="1">
      <alignment/>
    </xf>
    <xf numFmtId="0" fontId="7" fillId="0" borderId="0" xfId="0" applyFont="1" applyBorder="1" applyAlignment="1" quotePrefix="1">
      <alignment/>
    </xf>
    <xf numFmtId="0" fontId="8" fillId="33" borderId="0" xfId="0" applyFont="1" applyFill="1" applyAlignment="1">
      <alignment horizontal="left" vertical="top" wrapText="1"/>
    </xf>
    <xf numFmtId="0" fontId="49" fillId="0" borderId="0" xfId="0" applyFont="1" applyAlignment="1">
      <alignment/>
    </xf>
    <xf numFmtId="175" fontId="7" fillId="0" borderId="0" xfId="0" applyNumberFormat="1" applyFont="1" applyFill="1" applyAlignment="1">
      <alignment/>
    </xf>
    <xf numFmtId="4" fontId="8" fillId="0" borderId="0" xfId="0" applyNumberFormat="1" applyFont="1" applyBorder="1" applyAlignment="1">
      <alignment/>
    </xf>
    <xf numFmtId="2" fontId="7" fillId="0" borderId="11" xfId="0" applyNumberFormat="1" applyFont="1" applyBorder="1" applyAlignment="1">
      <alignment/>
    </xf>
    <xf numFmtId="4" fontId="0" fillId="0" borderId="0" xfId="0" applyNumberFormat="1" applyAlignment="1">
      <alignment horizontal="center"/>
    </xf>
    <xf numFmtId="171" fontId="0" fillId="0" borderId="0" xfId="0" applyNumberFormat="1" applyAlignment="1">
      <alignment/>
    </xf>
    <xf numFmtId="171" fontId="8" fillId="0" borderId="0" xfId="0" applyNumberFormat="1" applyFont="1" applyAlignment="1">
      <alignment wrapText="1"/>
    </xf>
    <xf numFmtId="0" fontId="0" fillId="0" borderId="0" xfId="0" applyFont="1" applyAlignment="1">
      <alignment/>
    </xf>
    <xf numFmtId="2" fontId="10" fillId="0" borderId="10" xfId="0" applyNumberFormat="1" applyFont="1" applyFill="1" applyBorder="1" applyAlignment="1">
      <alignment/>
    </xf>
    <xf numFmtId="177" fontId="7" fillId="0" borderId="0" xfId="0" applyNumberFormat="1" applyFont="1" applyAlignment="1" quotePrefix="1">
      <alignment/>
    </xf>
    <xf numFmtId="177" fontId="0" fillId="0" borderId="0" xfId="0" applyNumberFormat="1" applyAlignment="1" quotePrefix="1">
      <alignment/>
    </xf>
    <xf numFmtId="2" fontId="0" fillId="0" borderId="10" xfId="0" applyNumberFormat="1" applyFont="1" applyBorder="1" applyAlignment="1">
      <alignment/>
    </xf>
    <xf numFmtId="165" fontId="8" fillId="0" borderId="0" xfId="0" applyNumberFormat="1" applyFont="1" applyAlignment="1">
      <alignment wrapText="1"/>
    </xf>
    <xf numFmtId="165" fontId="8" fillId="0" borderId="0" xfId="0" applyNumberFormat="1" applyFont="1" applyAlignment="1">
      <alignment/>
    </xf>
    <xf numFmtId="165" fontId="0" fillId="0" borderId="0" xfId="0" applyNumberFormat="1" applyAlignment="1">
      <alignment/>
    </xf>
    <xf numFmtId="167" fontId="8" fillId="0" borderId="0" xfId="0" applyNumberFormat="1" applyFont="1" applyAlignment="1">
      <alignment/>
    </xf>
    <xf numFmtId="0" fontId="7" fillId="0" borderId="12" xfId="0" applyFont="1" applyBorder="1" applyAlignment="1">
      <alignment horizontal="center"/>
    </xf>
    <xf numFmtId="0" fontId="7" fillId="0" borderId="11" xfId="0" applyFont="1" applyBorder="1" applyAlignment="1">
      <alignment horizontal="center"/>
    </xf>
    <xf numFmtId="2" fontId="7" fillId="0" borderId="12" xfId="0" applyNumberFormat="1" applyFont="1" applyBorder="1" applyAlignment="1">
      <alignment horizontal="center"/>
    </xf>
    <xf numFmtId="2" fontId="7" fillId="0" borderId="11" xfId="0" applyNumberFormat="1" applyFont="1" applyBorder="1" applyAlignment="1">
      <alignment horizontal="center"/>
    </xf>
    <xf numFmtId="0" fontId="6" fillId="0" borderId="12" xfId="0" applyFont="1" applyBorder="1" applyAlignment="1">
      <alignment horizontal="left"/>
    </xf>
    <xf numFmtId="0" fontId="6" fillId="0" borderId="13" xfId="0" applyFont="1" applyBorder="1" applyAlignment="1">
      <alignment horizontal="left"/>
    </xf>
    <xf numFmtId="0" fontId="6" fillId="0" borderId="11"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4</xdr:row>
      <xdr:rowOff>28575</xdr:rowOff>
    </xdr:from>
    <xdr:to>
      <xdr:col>12</xdr:col>
      <xdr:colOff>438150</xdr:colOff>
      <xdr:row>18</xdr:row>
      <xdr:rowOff>114300</xdr:rowOff>
    </xdr:to>
    <xdr:sp>
      <xdr:nvSpPr>
        <xdr:cNvPr id="1" name="TextBox 1"/>
        <xdr:cNvSpPr txBox="1">
          <a:spLocks noChangeArrowheads="1"/>
        </xdr:cNvSpPr>
      </xdr:nvSpPr>
      <xdr:spPr>
        <a:xfrm>
          <a:off x="4705350" y="866775"/>
          <a:ext cx="6591300"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this is the first time the living wage is being calculated for your municipality, use this spreadsheet tab which determines the government transfers for the family using this year's income. To illustrate the methodology, this spreadsheet includes family expenses for Metro Vancouver and the highlighted cells must be updated to reflect the actual costs in your municipality. You can update the cells manually but we highly recommend using the "Family expenses" tab to help you calculate the correct amounts.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previously calculated, use last year's living wage family income to determine the government transfers and subsidies that the family will be eligible for. This is how government transfers are calculated in practice, and this method was used for the Metro Vancouver </a:t>
          </a:r>
          <a:r>
            <a:rPr lang="en-US" cap="none" sz="1000" b="0" i="0" u="none" baseline="0">
              <a:solidFill>
                <a:srgbClr val="000000"/>
              </a:solidFill>
              <a:latin typeface="Verdana"/>
              <a:ea typeface="Verdana"/>
              <a:cs typeface="Verdana"/>
            </a:rPr>
            <a:t>2017 Living </a:t>
          </a:r>
          <a:r>
            <a:rPr lang="en-US" cap="none" sz="1000" b="0" i="0" u="none" baseline="0">
              <a:solidFill>
                <a:srgbClr val="000000"/>
              </a:solidFill>
              <a:latin typeface="Verdana"/>
              <a:ea typeface="Verdana"/>
              <a:cs typeface="Verdana"/>
            </a:rPr>
            <a:t>Wage Update. Use the second tab in this spreadsheet, titled "Using last year's LW income" and enter the last year's family income in Table IIa.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If you are updating family expenses manually, remember to update the shaded cells I50 &amp; I51 with the actual costs of public transit and tuition fees in your community so that the transit and education tax credits are accurate.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4</xdr:row>
      <xdr:rowOff>28575</xdr:rowOff>
    </xdr:from>
    <xdr:to>
      <xdr:col>11</xdr:col>
      <xdr:colOff>209550</xdr:colOff>
      <xdr:row>16</xdr:row>
      <xdr:rowOff>171450</xdr:rowOff>
    </xdr:to>
    <xdr:sp>
      <xdr:nvSpPr>
        <xdr:cNvPr id="1" name="TextBox 1"/>
        <xdr:cNvSpPr txBox="1">
          <a:spLocks noChangeArrowheads="1"/>
        </xdr:cNvSpPr>
      </xdr:nvSpPr>
      <xdr:spPr>
        <a:xfrm>
          <a:off x="4724400" y="866775"/>
          <a:ext cx="6143625"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Metro Vancouver 2017 Living Wage Update. Use this spreadsheet tab for your calculation and enter last year's family income in Table IIa. This spreadsheet includes family expenses for Vancouver and the highlighted cells must be updated to reflect the actual costs in your municipality. You can update the cells manually but we highly recommend using the "Family expenses" tab to help you calculate the correct amounts.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this is the first time the living wage is being calculated for your municipality, use the first tab in this spreadsheet, titled "First time LW calculation," which determines the government transfers for the family using this year's income.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If you are updating family expenses manually, remember to update the shaded cells I50 &amp; I51 with the actual costs of public transit and tuition fees in your community so that the transit and education tax credits are accurate.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4</xdr:row>
      <xdr:rowOff>76200</xdr:rowOff>
    </xdr:from>
    <xdr:to>
      <xdr:col>9</xdr:col>
      <xdr:colOff>419100</xdr:colOff>
      <xdr:row>13</xdr:row>
      <xdr:rowOff>85725</xdr:rowOff>
    </xdr:to>
    <xdr:sp>
      <xdr:nvSpPr>
        <xdr:cNvPr id="1" name="TextBox 1"/>
        <xdr:cNvSpPr txBox="1">
          <a:spLocks noChangeArrowheads="1"/>
        </xdr:cNvSpPr>
      </xdr:nvSpPr>
      <xdr:spPr>
        <a:xfrm>
          <a:off x="5915025" y="914400"/>
          <a:ext cx="570547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The family expenses included in this spreadsheet follow the 2017 BC Living Wage Calculation Guide.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Shaded cells need to be updated with the costs of these items in your community. Cells that are not shaded contain provincial-level data and do not need to be changed.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It is important to not delete any rows in this spreadsheet, as some cells are linked to calculations in the other two tabs of the spreadsheet. If a particular expense does not apply in your community, set its cost to 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B113"/>
  <sheetViews>
    <sheetView zoomScale="125" zoomScaleNormal="125" workbookViewId="0" topLeftCell="A1">
      <selection activeCell="J24" sqref="J24"/>
    </sheetView>
  </sheetViews>
  <sheetFormatPr defaultColWidth="12.57421875" defaultRowHeight="16.5" customHeight="1"/>
  <cols>
    <col min="1" max="1" width="26.140625" style="0" customWidth="1"/>
    <col min="2" max="16384" width="12.421875" style="0" customWidth="1"/>
  </cols>
  <sheetData>
    <row r="1" spans="1:9" ht="16.5" customHeight="1">
      <c r="A1" s="1" t="s">
        <v>123</v>
      </c>
      <c r="B1" s="1"/>
      <c r="C1" s="160"/>
      <c r="D1" s="2"/>
      <c r="E1" s="2"/>
      <c r="F1" s="2"/>
      <c r="G1" s="2"/>
      <c r="H1" s="2"/>
      <c r="I1" s="2"/>
    </row>
    <row r="2" spans="2:5" s="3" customFormat="1" ht="16.5" customHeight="1">
      <c r="B2" s="3" t="s">
        <v>0</v>
      </c>
      <c r="D2" s="4"/>
      <c r="E2" s="5"/>
    </row>
    <row r="3" spans="1:10" ht="16.5" customHeight="1">
      <c r="A3" s="2" t="s">
        <v>1</v>
      </c>
      <c r="C3" s="3"/>
      <c r="D3" s="4"/>
      <c r="E3" s="5"/>
      <c r="F3" s="3"/>
      <c r="G3" s="3"/>
      <c r="H3" s="3"/>
      <c r="I3" s="3"/>
      <c r="J3" s="3"/>
    </row>
    <row r="4" spans="1:10" ht="16.5" customHeight="1">
      <c r="A4" s="3"/>
      <c r="B4" s="2"/>
      <c r="C4" s="3"/>
      <c r="D4" s="4"/>
      <c r="E4" s="5"/>
      <c r="F4" s="3"/>
      <c r="G4" s="3"/>
      <c r="H4" s="3"/>
      <c r="I4" s="3"/>
      <c r="J4" s="3"/>
    </row>
    <row r="5" ht="16.5" customHeight="1">
      <c r="B5" s="6" t="s">
        <v>2</v>
      </c>
    </row>
    <row r="6" spans="3:19" ht="16.5" customHeight="1">
      <c r="C6" s="6"/>
      <c r="F6" s="7"/>
      <c r="G6" s="7"/>
      <c r="H6" s="7"/>
      <c r="I6" s="7"/>
      <c r="J6" s="8"/>
      <c r="L6" s="9"/>
      <c r="M6" s="10"/>
      <c r="N6" s="10"/>
      <c r="O6" s="10"/>
      <c r="P6" s="10"/>
      <c r="Q6" s="10"/>
      <c r="S6" s="11"/>
    </row>
    <row r="7" spans="1:28" ht="16.5" customHeight="1">
      <c r="A7" s="12" t="s">
        <v>3</v>
      </c>
      <c r="B7" s="13" t="s">
        <v>4</v>
      </c>
      <c r="C7" s="13" t="s">
        <v>5</v>
      </c>
      <c r="D7" s="14" t="s">
        <v>6</v>
      </c>
      <c r="F7" s="15"/>
      <c r="G7" s="8"/>
      <c r="H7" s="16"/>
      <c r="I7" s="17"/>
      <c r="J7" s="8"/>
      <c r="L7" s="18"/>
      <c r="P7" s="9"/>
      <c r="Q7" s="10"/>
      <c r="R7" s="10"/>
      <c r="S7" s="10"/>
      <c r="T7" s="10"/>
      <c r="U7" s="10"/>
      <c r="W7" s="9"/>
      <c r="X7" s="10"/>
      <c r="Y7" s="10"/>
      <c r="Z7" s="10"/>
      <c r="AA7" s="10"/>
      <c r="AB7" s="10"/>
    </row>
    <row r="8" spans="1:23" ht="16.5" customHeight="1">
      <c r="A8" s="19" t="s">
        <v>7</v>
      </c>
      <c r="B8" s="20"/>
      <c r="C8" s="20"/>
      <c r="D8" s="14" t="s">
        <v>8</v>
      </c>
      <c r="F8" s="22"/>
      <c r="H8" s="23"/>
      <c r="I8" s="17"/>
      <c r="J8" s="24"/>
      <c r="K8" s="25"/>
      <c r="L8" s="26"/>
      <c r="M8" s="25"/>
      <c r="P8" s="27"/>
      <c r="W8" s="27"/>
    </row>
    <row r="9" spans="1:27" ht="16.5" customHeight="1">
      <c r="A9" s="19" t="s">
        <v>10</v>
      </c>
      <c r="B9" s="140">
        <f>'Family expenses'!B11</f>
        <v>846.0088730487088</v>
      </c>
      <c r="C9" s="140">
        <f>B9*12</f>
        <v>10152.106476584506</v>
      </c>
      <c r="D9" s="28">
        <f>C9/C20</f>
        <v>0.13940063088679877</v>
      </c>
      <c r="F9" s="22"/>
      <c r="G9" s="24"/>
      <c r="H9" s="29"/>
      <c r="I9" s="30"/>
      <c r="J9" s="8"/>
      <c r="K9" s="25"/>
      <c r="L9" s="26"/>
      <c r="M9" s="25"/>
      <c r="P9" s="27"/>
      <c r="T9" s="11"/>
      <c r="W9" s="27"/>
      <c r="AA9" s="11"/>
    </row>
    <row r="10" spans="1:28" ht="16.5" customHeight="1">
      <c r="A10" s="19" t="s">
        <v>11</v>
      </c>
      <c r="B10" s="140">
        <f>C10/12</f>
        <v>161.9987648221344</v>
      </c>
      <c r="C10" s="140">
        <f>'Family expenses'!B17</f>
        <v>1943.9851778656127</v>
      </c>
      <c r="D10" s="28">
        <f>C10/C20</f>
        <v>0.02669325433633777</v>
      </c>
      <c r="F10" s="31"/>
      <c r="G10" s="32"/>
      <c r="H10" s="27"/>
      <c r="I10" s="27"/>
      <c r="J10" s="24"/>
      <c r="K10" s="25"/>
      <c r="L10" s="26"/>
      <c r="M10" s="25"/>
      <c r="P10" s="27"/>
      <c r="T10" s="11"/>
      <c r="U10" s="33"/>
      <c r="W10" s="27"/>
      <c r="AA10" s="11"/>
      <c r="AB10" s="33"/>
    </row>
    <row r="11" spans="1:28" ht="16.5" customHeight="1">
      <c r="A11" s="19" t="s">
        <v>12</v>
      </c>
      <c r="B11" s="140">
        <f>'Family expenses'!B27</f>
        <v>1786.954052128584</v>
      </c>
      <c r="C11" s="140">
        <f>(B11)*12</f>
        <v>21443.44862554301</v>
      </c>
      <c r="D11" s="28">
        <f>C11/C20</f>
        <v>0.2944443376046058</v>
      </c>
      <c r="F11" s="22"/>
      <c r="G11" s="25"/>
      <c r="H11" s="34"/>
      <c r="I11" s="35"/>
      <c r="J11" s="8"/>
      <c r="K11" s="25"/>
      <c r="L11" s="26"/>
      <c r="M11" s="25"/>
      <c r="P11" s="27"/>
      <c r="T11" s="11"/>
      <c r="U11" s="33"/>
      <c r="W11" s="27"/>
      <c r="AA11" s="11"/>
      <c r="AB11" s="33"/>
    </row>
    <row r="12" spans="1:28" ht="16.5" customHeight="1">
      <c r="A12" s="19" t="s">
        <v>13</v>
      </c>
      <c r="B12" s="140">
        <f>C12/12</f>
        <v>484.43664089347084</v>
      </c>
      <c r="C12" s="140">
        <f>'Family expenses'!B35</f>
        <v>5813.23969072165</v>
      </c>
      <c r="D12" s="28">
        <f>C12/C20</f>
        <v>0.0798227719785905</v>
      </c>
      <c r="F12" s="36"/>
      <c r="H12" s="37"/>
      <c r="I12" s="35"/>
      <c r="J12" s="38"/>
      <c r="K12" s="25"/>
      <c r="L12" s="26"/>
      <c r="M12" s="25"/>
      <c r="P12" s="27"/>
      <c r="T12" s="11"/>
      <c r="U12" s="33"/>
      <c r="W12" s="27"/>
      <c r="AA12" s="11"/>
      <c r="AB12" s="33"/>
    </row>
    <row r="13" spans="1:28" ht="16.5" customHeight="1">
      <c r="A13" s="19" t="s">
        <v>141</v>
      </c>
      <c r="B13" s="143">
        <f>C13/12</f>
        <v>760.0377589546157</v>
      </c>
      <c r="C13" s="143">
        <f>(C9+C10)*0.754</f>
        <v>9120.453107455389</v>
      </c>
      <c r="D13" s="28">
        <f>C13/C20</f>
        <v>0.12523478945824493</v>
      </c>
      <c r="F13" s="22"/>
      <c r="G13" s="25"/>
      <c r="H13" s="39"/>
      <c r="I13" s="30"/>
      <c r="J13" s="24"/>
      <c r="K13" s="25"/>
      <c r="L13" s="26"/>
      <c r="M13" s="25"/>
      <c r="P13" s="27"/>
      <c r="R13" s="10"/>
      <c r="T13" s="11"/>
      <c r="U13" s="33"/>
      <c r="W13" s="27"/>
      <c r="Y13" s="10"/>
      <c r="AA13" s="11"/>
      <c r="AB13" s="33"/>
    </row>
    <row r="14" spans="1:28" s="42" customFormat="1" ht="16.5" customHeight="1">
      <c r="A14" s="40" t="s">
        <v>14</v>
      </c>
      <c r="B14" s="144"/>
      <c r="C14" s="144">
        <f>SUM(C9:C13)</f>
        <v>48473.23307817017</v>
      </c>
      <c r="D14" s="41">
        <f>C14/C20</f>
        <v>0.6655957842645778</v>
      </c>
      <c r="E14"/>
      <c r="F14" s="15"/>
      <c r="G14" s="39"/>
      <c r="H14" s="37"/>
      <c r="I14" s="35"/>
      <c r="J14" s="39"/>
      <c r="K14" s="30"/>
      <c r="L14" s="26"/>
      <c r="M14" s="25"/>
      <c r="N14"/>
      <c r="O14"/>
      <c r="P14" s="27"/>
      <c r="Q14"/>
      <c r="R14"/>
      <c r="S14"/>
      <c r="T14" s="11"/>
      <c r="U14" s="33"/>
      <c r="W14" s="27"/>
      <c r="X14"/>
      <c r="Y14"/>
      <c r="Z14"/>
      <c r="AA14" s="11"/>
      <c r="AB14" s="33"/>
    </row>
    <row r="15" spans="1:28" ht="16.5" customHeight="1">
      <c r="A15" s="19" t="s">
        <v>15</v>
      </c>
      <c r="B15" s="140">
        <f>C15/12</f>
        <v>1400.8333333333333</v>
      </c>
      <c r="C15" s="140">
        <f>'Family expenses'!B46</f>
        <v>16810</v>
      </c>
      <c r="D15" s="28">
        <f>C15/C20</f>
        <v>0.23082151577230667</v>
      </c>
      <c r="F15" s="22"/>
      <c r="G15" s="24"/>
      <c r="H15" s="42"/>
      <c r="I15" s="30"/>
      <c r="J15" s="24"/>
      <c r="K15" s="25"/>
      <c r="L15" s="27"/>
      <c r="M15" s="43"/>
      <c r="N15" s="43"/>
      <c r="P15" s="27"/>
      <c r="R15" s="10"/>
      <c r="T15" s="11"/>
      <c r="U15" s="33"/>
      <c r="W15" s="27"/>
      <c r="Y15" s="10"/>
      <c r="AA15" s="11"/>
      <c r="AB15" s="33"/>
    </row>
    <row r="16" spans="1:28" ht="16.5" customHeight="1">
      <c r="A16" s="19" t="s">
        <v>142</v>
      </c>
      <c r="B16" s="140">
        <f>'Family expenses'!B52</f>
        <v>145</v>
      </c>
      <c r="C16" s="140">
        <f>B16*12</f>
        <v>1740</v>
      </c>
      <c r="D16" s="28">
        <f>C16/C20</f>
        <v>0.02389229253086339</v>
      </c>
      <c r="F16" s="17"/>
      <c r="G16" s="7"/>
      <c r="H16" s="24"/>
      <c r="I16" s="24"/>
      <c r="J16" s="24"/>
      <c r="K16" s="25"/>
      <c r="L16" s="27"/>
      <c r="P16" s="27"/>
      <c r="Q16" s="43"/>
      <c r="T16" s="11"/>
      <c r="U16" s="33"/>
      <c r="W16" s="27"/>
      <c r="X16" s="43"/>
      <c r="AA16" s="11"/>
      <c r="AB16" s="33"/>
    </row>
    <row r="17" spans="1:25" ht="16.5" customHeight="1">
      <c r="A17" s="19" t="s">
        <v>16</v>
      </c>
      <c r="B17" s="143">
        <f>IF((D51-3*3000+G48/2)&gt;42000,150,IF((D51-3*3000+G48/2)&gt;38000,130,IF((D51-3*3000+G48/2)&gt;34000,112,IF((D51-3*3000+G48/2)&gt;30000,92,IF((D51-3*3000+G48/2)&gt;28000,70,IF((D51-3*3000+G48/2)&gt;26000,46,IF((D51-3*3000+G48/2)&gt;24000,22,0)))))))</f>
        <v>150</v>
      </c>
      <c r="C17" s="143">
        <f>B17*12</f>
        <v>1800</v>
      </c>
      <c r="D17" s="28">
        <f>C17/C20</f>
        <v>0.02471616468710006</v>
      </c>
      <c r="F17" s="22"/>
      <c r="G17" s="44"/>
      <c r="I17" s="24"/>
      <c r="J17" s="24"/>
      <c r="M17" s="27"/>
      <c r="O17" s="2"/>
      <c r="Q17" s="11"/>
      <c r="R17" s="33"/>
      <c r="T17" s="27"/>
      <c r="V17" s="2"/>
      <c r="X17" s="11"/>
      <c r="Y17" s="33"/>
    </row>
    <row r="18" spans="1:25" ht="16.5" customHeight="1">
      <c r="A18" s="19" t="s">
        <v>144</v>
      </c>
      <c r="B18" s="143">
        <f>C18/12</f>
        <v>240.5666666666667</v>
      </c>
      <c r="C18" s="143">
        <f>B46*B47*2+C46*C47*2</f>
        <v>2886.8</v>
      </c>
      <c r="D18" s="28">
        <f>C18/C20</f>
        <v>0.03963923567706692</v>
      </c>
      <c r="F18" s="22"/>
      <c r="G18" s="44"/>
      <c r="H18" s="24"/>
      <c r="I18" s="24"/>
      <c r="J18" s="24"/>
      <c r="K18" s="2"/>
      <c r="M18" s="27"/>
      <c r="Q18" s="11"/>
      <c r="R18" s="33"/>
      <c r="T18" s="27"/>
      <c r="X18" s="11"/>
      <c r="Y18" s="33"/>
    </row>
    <row r="19" spans="1:25" ht="16.5" customHeight="1">
      <c r="A19" s="19" t="s">
        <v>17</v>
      </c>
      <c r="B19" s="140">
        <f>C19/12</f>
        <v>93.06666666666666</v>
      </c>
      <c r="C19" s="140">
        <f>'Family expenses'!B58</f>
        <v>1116.8</v>
      </c>
      <c r="D19" s="28">
        <f>C19/C20</f>
        <v>0.015335007068085191</v>
      </c>
      <c r="F19" s="22"/>
      <c r="G19" s="45"/>
      <c r="H19" s="46"/>
      <c r="I19" s="46"/>
      <c r="J19" s="46"/>
      <c r="K19" s="2"/>
      <c r="M19" s="27"/>
      <c r="N19" s="2"/>
      <c r="O19" s="2"/>
      <c r="Q19" s="11"/>
      <c r="R19" s="33"/>
      <c r="T19" s="27"/>
      <c r="U19" s="2"/>
      <c r="V19" s="2"/>
      <c r="X19" s="11"/>
      <c r="Y19" s="33"/>
    </row>
    <row r="20" spans="1:25" ht="16.5" customHeight="1">
      <c r="A20" s="19" t="s">
        <v>18</v>
      </c>
      <c r="B20" s="143">
        <f>SUM(B8:B19)</f>
        <v>6068.90275651418</v>
      </c>
      <c r="C20" s="143">
        <f>SUM(C9:C19)-C14</f>
        <v>72826.83307817017</v>
      </c>
      <c r="D20" s="28">
        <f>C20/C20</f>
        <v>1</v>
      </c>
      <c r="F20" s="17"/>
      <c r="G20" s="47" t="s">
        <v>19</v>
      </c>
      <c r="H20" s="37"/>
      <c r="I20" s="35"/>
      <c r="J20" s="37"/>
      <c r="K20" s="2"/>
      <c r="M20" s="27"/>
      <c r="N20" s="2"/>
      <c r="Q20" s="11"/>
      <c r="R20" s="33"/>
      <c r="T20" s="27"/>
      <c r="U20" s="2"/>
      <c r="X20" s="11"/>
      <c r="Y20" s="33"/>
    </row>
    <row r="21" spans="1:25" ht="16.5" customHeight="1">
      <c r="A21" s="7"/>
      <c r="B21" s="24"/>
      <c r="C21" s="24"/>
      <c r="D21" s="24"/>
      <c r="F21" s="24"/>
      <c r="G21" s="24"/>
      <c r="H21" s="38"/>
      <c r="I21" s="24"/>
      <c r="J21" s="35"/>
      <c r="K21" s="2"/>
      <c r="M21" s="27"/>
      <c r="N21" s="2"/>
      <c r="Q21" s="11"/>
      <c r="R21" s="33"/>
      <c r="T21" s="27"/>
      <c r="U21" s="2"/>
      <c r="X21" s="11"/>
      <c r="Y21" s="33"/>
    </row>
    <row r="22" spans="1:25" ht="16.5" customHeight="1">
      <c r="A22" s="48"/>
      <c r="B22" s="25"/>
      <c r="C22" s="25"/>
      <c r="H22" s="49"/>
      <c r="K22" s="2"/>
      <c r="M22" s="27"/>
      <c r="N22" s="2"/>
      <c r="Q22" s="11"/>
      <c r="R22" s="33"/>
      <c r="T22" s="27"/>
      <c r="U22" s="2"/>
      <c r="X22" s="11"/>
      <c r="Y22" s="33"/>
    </row>
    <row r="23" spans="2:25" ht="16.5" customHeight="1">
      <c r="B23" s="6" t="s">
        <v>20</v>
      </c>
      <c r="K23" s="2"/>
      <c r="M23" s="27"/>
      <c r="N23" s="2"/>
      <c r="Q23" s="11"/>
      <c r="R23" s="33"/>
      <c r="T23" s="27"/>
      <c r="U23" s="2"/>
      <c r="X23" s="11"/>
      <c r="Y23" s="33"/>
    </row>
    <row r="24" spans="3:25" ht="16.5" customHeight="1">
      <c r="C24" s="6"/>
      <c r="J24" s="49"/>
      <c r="K24" s="2"/>
      <c r="M24" s="50"/>
      <c r="N24" s="2"/>
      <c r="O24" s="2"/>
      <c r="P24" s="10"/>
      <c r="Q24" s="51"/>
      <c r="R24" s="52"/>
      <c r="T24" s="50"/>
      <c r="U24" s="2"/>
      <c r="V24" s="2"/>
      <c r="W24" s="10"/>
      <c r="X24" s="51"/>
      <c r="Y24" s="52"/>
    </row>
    <row r="25" spans="1:25" ht="16.5" customHeight="1">
      <c r="A25" s="53" t="s">
        <v>9</v>
      </c>
      <c r="B25" s="13" t="s">
        <v>4</v>
      </c>
      <c r="C25" s="13" t="s">
        <v>5</v>
      </c>
      <c r="D25" s="9"/>
      <c r="E25" s="54" t="s">
        <v>21</v>
      </c>
      <c r="F25" s="54" t="s">
        <v>22</v>
      </c>
      <c r="G25" s="54" t="s">
        <v>23</v>
      </c>
      <c r="H25" s="55" t="s">
        <v>24</v>
      </c>
      <c r="I25" s="9"/>
      <c r="K25" s="54"/>
      <c r="L25" s="54"/>
      <c r="M25" s="54"/>
      <c r="N25" s="55"/>
      <c r="O25" s="2"/>
      <c r="P25" s="10"/>
      <c r="Q25" s="51"/>
      <c r="R25" s="52"/>
      <c r="T25" s="50"/>
      <c r="U25" s="2"/>
      <c r="V25" s="2"/>
      <c r="W25" s="10"/>
      <c r="X25" s="51"/>
      <c r="Y25" s="52"/>
    </row>
    <row r="26" spans="1:25" ht="16.5" customHeight="1">
      <c r="A26" s="19" t="s">
        <v>128</v>
      </c>
      <c r="B26" s="143">
        <f>C26/12</f>
        <v>622.6943333333332</v>
      </c>
      <c r="C26" s="143">
        <f>E26</f>
        <v>7472.331999999999</v>
      </c>
      <c r="D26" s="59"/>
      <c r="E26" s="57">
        <f>IF(D51&lt;F26,(5400+6400),IF(D51&lt;G26,(5400+6400-(D51-F26)*0.135),(5400+6400-(G26-F26)*0.135-(D51-G26)*0.057)))</f>
        <v>7472.331999999999</v>
      </c>
      <c r="F26" s="58">
        <v>30000</v>
      </c>
      <c r="G26" s="58">
        <v>65000</v>
      </c>
      <c r="H26" s="62">
        <f>(6400+5400-(G26-F26)*0.135)/0.057+G26</f>
        <v>189122.80701754385</v>
      </c>
      <c r="J26" s="61"/>
      <c r="K26" s="2"/>
      <c r="L26" s="35"/>
      <c r="M26" s="34"/>
      <c r="N26" s="35"/>
      <c r="Q26" s="11"/>
      <c r="R26" s="33"/>
      <c r="T26" s="27"/>
      <c r="U26" s="2"/>
      <c r="X26" s="11"/>
      <c r="Y26" s="33"/>
    </row>
    <row r="27" spans="1:25" ht="16.5" customHeight="1">
      <c r="A27" s="19" t="s">
        <v>25</v>
      </c>
      <c r="B27" s="143">
        <v>55</v>
      </c>
      <c r="C27" s="143">
        <f>12*B27</f>
        <v>660</v>
      </c>
      <c r="D27" s="56"/>
      <c r="E27" s="47"/>
      <c r="F27" s="62"/>
      <c r="G27" s="62"/>
      <c r="H27" s="60"/>
      <c r="I27" s="25"/>
      <c r="K27" s="2"/>
      <c r="L27" s="2"/>
      <c r="M27" s="35"/>
      <c r="N27" s="35"/>
      <c r="Q27" s="11"/>
      <c r="R27" s="33"/>
      <c r="T27" s="27"/>
      <c r="U27" s="2"/>
      <c r="X27" s="11"/>
      <c r="Y27" s="33"/>
    </row>
    <row r="28" spans="1:25" ht="16.5" customHeight="1">
      <c r="A28" s="19" t="s">
        <v>26</v>
      </c>
      <c r="B28" s="143">
        <f>(C28)/12</f>
        <v>0</v>
      </c>
      <c r="C28" s="143">
        <f>MAX(0,E28)</f>
        <v>0</v>
      </c>
      <c r="D28" s="56"/>
      <c r="E28" s="35">
        <f>IF(D51&lt;F28,2*(276+145),2*(276+145)-(D51-F28)*0.05)</f>
        <v>-464.5400000000002</v>
      </c>
      <c r="F28" s="62">
        <v>35926</v>
      </c>
      <c r="G28" s="62">
        <f>(276*2+145*2)/0.05+F28</f>
        <v>52766</v>
      </c>
      <c r="H28" s="60"/>
      <c r="I28" s="25"/>
      <c r="J28" s="25"/>
      <c r="K28" s="2"/>
      <c r="L28" s="2"/>
      <c r="M28" s="35"/>
      <c r="Q28" s="11"/>
      <c r="R28" s="33"/>
      <c r="T28" s="27"/>
      <c r="U28" s="2"/>
      <c r="X28" s="11"/>
      <c r="Y28" s="33"/>
    </row>
    <row r="29" spans="1:25" ht="16.5" customHeight="1">
      <c r="A29" s="19" t="s">
        <v>27</v>
      </c>
      <c r="B29" s="140">
        <v>0</v>
      </c>
      <c r="C29" s="140">
        <f>12*B29</f>
        <v>0</v>
      </c>
      <c r="D29" s="35" t="s">
        <v>28</v>
      </c>
      <c r="F29" s="34"/>
      <c r="G29" s="35"/>
      <c r="H29" s="25"/>
      <c r="I29" s="25"/>
      <c r="J29" s="25"/>
      <c r="K29" s="2"/>
      <c r="L29" s="2"/>
      <c r="M29" s="35"/>
      <c r="N29" s="35"/>
      <c r="Q29" s="11"/>
      <c r="R29" s="33"/>
      <c r="T29" s="27"/>
      <c r="U29" s="2"/>
      <c r="X29" s="11"/>
      <c r="Y29" s="33"/>
    </row>
    <row r="30" spans="1:25" ht="16.5" customHeight="1">
      <c r="A30" s="19" t="s">
        <v>29</v>
      </c>
      <c r="B30" s="143">
        <f>C30/12</f>
        <v>0</v>
      </c>
      <c r="C30" s="143">
        <f>MAX(0,E30)</f>
        <v>0</v>
      </c>
      <c r="E30" s="37">
        <f>IF(D51&lt;F30,2*(115.5+34.5),2*(115.5+34.5)-(D51-F30)*0.02)</f>
        <v>-162.8760000000001</v>
      </c>
      <c r="F30" s="62">
        <v>38913</v>
      </c>
      <c r="G30" s="62">
        <f>(115.5+115.5+34.5+34.5)/0.02+F30</f>
        <v>53913</v>
      </c>
      <c r="H30" s="25"/>
      <c r="I30" s="25"/>
      <c r="K30" s="2"/>
      <c r="M30" s="27"/>
      <c r="N30" s="2"/>
      <c r="Q30" s="11"/>
      <c r="R30" s="33"/>
      <c r="T30" s="27"/>
      <c r="U30" s="2"/>
      <c r="X30" s="11"/>
      <c r="Y30" s="33"/>
    </row>
    <row r="31" spans="1:24" ht="16.5" customHeight="1">
      <c r="A31" s="19" t="s">
        <v>30</v>
      </c>
      <c r="B31" s="140">
        <v>0</v>
      </c>
      <c r="C31" s="140">
        <f>B31*12</f>
        <v>0</v>
      </c>
      <c r="D31" s="35"/>
      <c r="E31" s="63"/>
      <c r="F31" s="35"/>
      <c r="H31" s="25"/>
      <c r="J31" s="25"/>
      <c r="M31" s="27"/>
      <c r="Q31" s="11"/>
      <c r="T31" s="27"/>
      <c r="X31" s="11"/>
    </row>
    <row r="32" spans="1:25" ht="16.5" customHeight="1">
      <c r="A32" s="19" t="s">
        <v>18</v>
      </c>
      <c r="B32" s="143">
        <f>SUM(B26:B31)</f>
        <v>677.6943333333332</v>
      </c>
      <c r="C32" s="143">
        <f>SUM(C26:C31)</f>
        <v>8132.331999999999</v>
      </c>
      <c r="D32" s="35" t="s">
        <v>136</v>
      </c>
      <c r="H32" s="25"/>
      <c r="I32" s="25"/>
      <c r="P32" s="27"/>
      <c r="Q32" s="10"/>
      <c r="R32" s="10"/>
      <c r="W32" s="27"/>
      <c r="X32" s="10"/>
      <c r="Y32" s="10"/>
    </row>
    <row r="33" spans="1:25" ht="16.5" customHeight="1">
      <c r="A33" s="122"/>
      <c r="B33" s="162"/>
      <c r="C33" s="162"/>
      <c r="D33" s="35"/>
      <c r="H33" s="25"/>
      <c r="I33" s="25"/>
      <c r="P33" s="27"/>
      <c r="Q33" s="10"/>
      <c r="R33" s="10"/>
      <c r="W33" s="27"/>
      <c r="X33" s="10"/>
      <c r="Y33" s="10"/>
    </row>
    <row r="34" spans="1:15" ht="16.5" customHeight="1">
      <c r="A34" s="7"/>
      <c r="B34" s="24"/>
      <c r="C34" s="24"/>
      <c r="H34" s="25"/>
      <c r="I34" s="25"/>
      <c r="L34" s="9"/>
      <c r="M34" s="10"/>
      <c r="N34" s="10"/>
      <c r="O34" s="10"/>
    </row>
    <row r="35" spans="2:14" ht="16.5" customHeight="1">
      <c r="B35" s="6" t="s">
        <v>31</v>
      </c>
      <c r="L35" s="25"/>
      <c r="M35" s="25"/>
      <c r="N35" s="25"/>
    </row>
    <row r="36" spans="1:27" ht="16.5" customHeight="1">
      <c r="A36" s="3"/>
      <c r="L36" s="25"/>
      <c r="N36" s="25"/>
      <c r="P36" s="9"/>
      <c r="Q36" s="10"/>
      <c r="R36" s="10"/>
      <c r="S36" s="10"/>
      <c r="T36" s="64"/>
      <c r="W36" s="9"/>
      <c r="X36" s="10"/>
      <c r="Y36" s="10"/>
      <c r="Z36" s="10"/>
      <c r="AA36" s="64"/>
    </row>
    <row r="37" spans="1:14" ht="16.5" customHeight="1">
      <c r="A37" s="65"/>
      <c r="B37" s="13"/>
      <c r="C37" s="13" t="s">
        <v>5</v>
      </c>
      <c r="D37" s="9"/>
      <c r="E37" s="53" t="s">
        <v>32</v>
      </c>
      <c r="F37" s="13"/>
      <c r="G37" s="13"/>
      <c r="H37" s="66"/>
      <c r="I37" s="9"/>
      <c r="L37" s="67"/>
      <c r="M37" s="25"/>
      <c r="N37" s="25"/>
    </row>
    <row r="38" spans="1:13" ht="16.5" customHeight="1">
      <c r="A38" s="19" t="s">
        <v>33</v>
      </c>
      <c r="B38" s="143"/>
      <c r="C38" s="143">
        <f>C32+D57</f>
        <v>72839.688124464</v>
      </c>
      <c r="D38" s="91"/>
      <c r="E38" s="14" t="s">
        <v>34</v>
      </c>
      <c r="F38" s="14" t="s">
        <v>35</v>
      </c>
      <c r="G38" s="14" t="s">
        <v>36</v>
      </c>
      <c r="H38" s="68" t="s">
        <v>37</v>
      </c>
      <c r="I38" s="68" t="s">
        <v>38</v>
      </c>
      <c r="L38" s="25"/>
      <c r="M38" s="25"/>
    </row>
    <row r="39" spans="1:14" ht="16.5" customHeight="1">
      <c r="A39" s="19" t="s">
        <v>39</v>
      </c>
      <c r="B39" s="143"/>
      <c r="C39" s="143">
        <f>C20</f>
        <v>72826.83307817017</v>
      </c>
      <c r="D39" s="91"/>
      <c r="E39" s="14">
        <v>4</v>
      </c>
      <c r="F39" s="14">
        <v>550</v>
      </c>
      <c r="G39" s="69">
        <f>1418+1500</f>
        <v>2918</v>
      </c>
      <c r="H39" s="70">
        <f>F39-F39/(F39+F40)*0.5*(D58-G39)</f>
        <v>-345.2985673495176</v>
      </c>
      <c r="I39" s="70">
        <f>-(B15-H39)*12</f>
        <v>-20953.58280819421</v>
      </c>
      <c r="K39" s="25"/>
      <c r="L39" s="25"/>
      <c r="M39" s="25"/>
      <c r="N39" s="25"/>
    </row>
    <row r="40" spans="1:9" ht="16.5" customHeight="1">
      <c r="A40" s="19" t="s">
        <v>40</v>
      </c>
      <c r="B40" s="143"/>
      <c r="C40" s="143">
        <f>C38-C39</f>
        <v>12.855046293829218</v>
      </c>
      <c r="D40" s="91"/>
      <c r="E40" s="14">
        <v>7</v>
      </c>
      <c r="F40" s="14">
        <v>210</v>
      </c>
      <c r="G40" s="69">
        <f>1418+515</f>
        <v>1933</v>
      </c>
      <c r="H40" s="70">
        <f>F40-F40/(F39+F40)*0.5*(D58-G40)</f>
        <v>-267.92679748560533</v>
      </c>
      <c r="I40" s="70">
        <f>-(B15-H40)*12</f>
        <v>-20025.121569827264</v>
      </c>
    </row>
    <row r="41" spans="1:9" ht="16.5" customHeight="1">
      <c r="A41" s="7"/>
      <c r="B41" s="149"/>
      <c r="C41" s="149"/>
      <c r="D41" s="91"/>
      <c r="G41" s="71"/>
      <c r="H41" s="72" t="s">
        <v>41</v>
      </c>
      <c r="I41" s="70">
        <f>-(B15-H39-H40)*12</f>
        <v>-24168.704378021474</v>
      </c>
    </row>
    <row r="42" spans="2:9" ht="16.5" customHeight="1">
      <c r="B42" s="91"/>
      <c r="C42" s="91"/>
      <c r="D42" s="91"/>
      <c r="E42" s="25"/>
      <c r="H42" s="25"/>
      <c r="I42" s="25"/>
    </row>
    <row r="43" spans="1:4" ht="16.5" customHeight="1">
      <c r="A43" s="73" t="s">
        <v>42</v>
      </c>
      <c r="B43" s="91"/>
      <c r="C43" s="91"/>
      <c r="D43" s="91"/>
    </row>
    <row r="44" spans="2:4" ht="16.5" customHeight="1">
      <c r="B44" s="150"/>
      <c r="C44" s="91"/>
      <c r="D44" s="91"/>
    </row>
    <row r="45" spans="1:9" s="27" customFormat="1" ht="16.5" customHeight="1">
      <c r="A45" s="13"/>
      <c r="B45" s="151" t="s">
        <v>43</v>
      </c>
      <c r="C45" s="151" t="s">
        <v>44</v>
      </c>
      <c r="D45" s="151" t="s">
        <v>18</v>
      </c>
      <c r="F45" s="9"/>
      <c r="G45" s="74"/>
      <c r="H45" s="74"/>
      <c r="I45" s="74"/>
    </row>
    <row r="46" spans="1:9" s="2" customFormat="1" ht="16.5" customHeight="1">
      <c r="A46" s="19" t="s">
        <v>45</v>
      </c>
      <c r="B46" s="143">
        <v>35</v>
      </c>
      <c r="C46" s="152">
        <v>35</v>
      </c>
      <c r="D46" s="143">
        <f>B46+C46</f>
        <v>70</v>
      </c>
      <c r="F46" s="21" t="s">
        <v>46</v>
      </c>
      <c r="G46" s="75"/>
      <c r="H46" s="75"/>
      <c r="I46" s="171"/>
    </row>
    <row r="47" spans="1:10" s="2" customFormat="1" ht="16.5" customHeight="1">
      <c r="A47" s="19" t="s">
        <v>47</v>
      </c>
      <c r="B47" s="145">
        <v>20.62</v>
      </c>
      <c r="C47" s="153">
        <f>B47</f>
        <v>20.62</v>
      </c>
      <c r="D47" s="143"/>
      <c r="F47" s="176" t="s">
        <v>43</v>
      </c>
      <c r="G47" s="177"/>
      <c r="H47" s="176" t="s">
        <v>44</v>
      </c>
      <c r="I47" s="177"/>
      <c r="J47" s="76"/>
    </row>
    <row r="48" spans="1:10" ht="16.5" customHeight="1">
      <c r="A48" s="78"/>
      <c r="B48" s="154"/>
      <c r="C48" s="155"/>
      <c r="D48" s="154"/>
      <c r="F48" s="79" t="s">
        <v>50</v>
      </c>
      <c r="G48" s="80">
        <f>MIN((MIN('Family expenses'!B42,8000)+MIN(SUM('Family expenses'!B43:B45),5000)),(C15-C31))</f>
        <v>13000</v>
      </c>
      <c r="H48" s="75" t="s">
        <v>115</v>
      </c>
      <c r="I48" s="80">
        <f>1000</f>
        <v>1000</v>
      </c>
      <c r="J48" s="64"/>
    </row>
    <row r="49" spans="1:10" ht="16.5" customHeight="1">
      <c r="A49" s="19" t="s">
        <v>48</v>
      </c>
      <c r="B49" s="143">
        <f>B47*B46*52</f>
        <v>37528.4</v>
      </c>
      <c r="C49" s="143">
        <f>C47*C46*52</f>
        <v>37528.4</v>
      </c>
      <c r="D49" s="143">
        <f aca="true" t="shared" si="0" ref="D49:D56">B49+C49</f>
        <v>75056.8</v>
      </c>
      <c r="F49" s="79" t="s">
        <v>53</v>
      </c>
      <c r="G49" s="82">
        <f>(C16-B51*0.03)</f>
        <v>1004.148</v>
      </c>
      <c r="H49" s="75" t="s">
        <v>129</v>
      </c>
      <c r="I49" s="80">
        <v>250</v>
      </c>
      <c r="J49" s="25"/>
    </row>
    <row r="50" spans="1:10" ht="16.5" customHeight="1">
      <c r="A50" s="19" t="s">
        <v>49</v>
      </c>
      <c r="B50" s="143">
        <f>-G48</f>
        <v>-13000</v>
      </c>
      <c r="C50" s="143"/>
      <c r="D50" s="143"/>
      <c r="F50" s="79" t="s">
        <v>56</v>
      </c>
      <c r="G50" s="80">
        <f>IF(D51&lt;50017,IF((0.25*(C16-B51*0.03)-0.05*(D51-26277))&gt;0,(0.25*(C16-B51*0.03)-0.05*(D51-26277)),0),0)</f>
        <v>0</v>
      </c>
      <c r="H50" s="34" t="s">
        <v>51</v>
      </c>
      <c r="I50" s="81">
        <f>'Family expenses'!B33+'Family expenses'!B34</f>
        <v>818</v>
      </c>
      <c r="J50" s="25"/>
    </row>
    <row r="51" spans="1:10" ht="16.5" customHeight="1">
      <c r="A51" s="19" t="s">
        <v>52</v>
      </c>
      <c r="B51" s="143">
        <f>B49+B50</f>
        <v>24528.4</v>
      </c>
      <c r="C51" s="143">
        <f>C49+C50</f>
        <v>37528.4</v>
      </c>
      <c r="D51" s="143">
        <f>B51+C51</f>
        <v>62056.8</v>
      </c>
      <c r="F51" s="84"/>
      <c r="G51" s="85"/>
      <c r="H51" s="79" t="s">
        <v>54</v>
      </c>
      <c r="I51" s="83">
        <f>'Family expenses'!B55*2</f>
        <v>657.3</v>
      </c>
      <c r="J51" s="25"/>
    </row>
    <row r="52" spans="1:10" ht="16.5" customHeight="1">
      <c r="A52" s="19" t="s">
        <v>55</v>
      </c>
      <c r="B52" s="143">
        <f>B49*0.0188</f>
        <v>705.5339200000001</v>
      </c>
      <c r="C52" s="143">
        <f>C49*0.0188</f>
        <v>705.5339200000001</v>
      </c>
      <c r="D52" s="143">
        <f>B52+C52</f>
        <v>1411.0678400000002</v>
      </c>
      <c r="E52" s="56"/>
      <c r="H52" s="79" t="s">
        <v>57</v>
      </c>
      <c r="I52" s="80">
        <f>IF(D51&lt;29186,(MIN(0.204*(D49-4750),1972)-0.165*(D51-17234)),0)</f>
        <v>0</v>
      </c>
      <c r="J52" s="25"/>
    </row>
    <row r="53" spans="1:10" ht="16.5" customHeight="1">
      <c r="A53" s="19" t="s">
        <v>58</v>
      </c>
      <c r="B53" s="143">
        <f>(B49-3500)*0.0495</f>
        <v>1684.4058000000002</v>
      </c>
      <c r="C53" s="143">
        <f>(C49-3500)*0.0495</f>
        <v>1684.4058000000002</v>
      </c>
      <c r="D53" s="143">
        <f t="shared" si="0"/>
        <v>3368.8116000000005</v>
      </c>
      <c r="E53" s="56"/>
      <c r="F53" s="35"/>
      <c r="G53" s="63"/>
      <c r="H53" s="24"/>
      <c r="I53" s="158"/>
      <c r="J53" s="25"/>
    </row>
    <row r="54" spans="1:7" ht="16.5" customHeight="1">
      <c r="A54" s="19" t="s">
        <v>59</v>
      </c>
      <c r="B54" s="143">
        <f>MAX(0,(B51*0.15-(11474+B52+B53+1161+G49)*0.15))</f>
        <v>1274.8968420000006</v>
      </c>
      <c r="C54" s="148">
        <f>MAX(0,(C51*0.15-(11474+C52+C53+1161+I50+I48+(I51+120*8+20*8))*0.15))</f>
        <v>2836.2240420000003</v>
      </c>
      <c r="D54" s="143">
        <f t="shared" si="0"/>
        <v>4111.120884000001</v>
      </c>
      <c r="F54" s="35"/>
      <c r="G54" s="35"/>
    </row>
    <row r="55" spans="1:9" ht="16.5" customHeight="1">
      <c r="A55" s="19" t="s">
        <v>60</v>
      </c>
      <c r="B55" s="143">
        <f>G50</f>
        <v>0</v>
      </c>
      <c r="C55" s="143">
        <f>I52</f>
        <v>0</v>
      </c>
      <c r="D55" s="143">
        <f t="shared" si="0"/>
        <v>0</v>
      </c>
      <c r="E55" s="42"/>
      <c r="F55" s="35"/>
      <c r="G55" s="35"/>
      <c r="I55" s="138"/>
    </row>
    <row r="56" spans="1:6" ht="16.5" customHeight="1">
      <c r="A56" s="19" t="s">
        <v>61</v>
      </c>
      <c r="B56" s="143">
        <f>MAX(0,(B51*0.0506-(10027+B52+B53+G49)*0.0506-MAX(0,436-(B51-19400)*0.0356)))</f>
        <v>308.6010413680001</v>
      </c>
      <c r="C56" s="148">
        <f>MAX(0,(C51*0.0506-(10027+C52+C53+I48+I49+(I51+60*8))*0.0506-MAX(0,436-(C51-19400)*0.0356)))</f>
        <v>1149.842510168</v>
      </c>
      <c r="D56" s="143">
        <f t="shared" si="0"/>
        <v>1458.443551536</v>
      </c>
      <c r="E56" s="42"/>
      <c r="F56" s="49"/>
    </row>
    <row r="57" spans="1:8" ht="16.5" customHeight="1">
      <c r="A57" s="19" t="s">
        <v>62</v>
      </c>
      <c r="B57" s="143">
        <f>B49-SUM(B52:B56)</f>
        <v>33554.962396632</v>
      </c>
      <c r="C57" s="143">
        <f>C49-SUM(C52:C56)</f>
        <v>31152.393727832</v>
      </c>
      <c r="D57" s="143">
        <f>B57+C57</f>
        <v>64707.356124464</v>
      </c>
      <c r="E57" s="25"/>
      <c r="H57" s="91"/>
    </row>
    <row r="58" spans="1:8" ht="16.5" customHeight="1">
      <c r="A58" s="19" t="s">
        <v>63</v>
      </c>
      <c r="B58" s="143">
        <f>B57/12</f>
        <v>2796.246866386</v>
      </c>
      <c r="C58" s="143">
        <f>C57/12</f>
        <v>2596.0328106526667</v>
      </c>
      <c r="D58" s="143">
        <f>B58+C58</f>
        <v>5392.279677038667</v>
      </c>
      <c r="E58" s="87"/>
      <c r="H58" s="156"/>
    </row>
    <row r="59" spans="1:8" ht="16.5" customHeight="1">
      <c r="A59" s="88"/>
      <c r="B59" s="88"/>
      <c r="C59" s="88"/>
      <c r="D59" s="88"/>
      <c r="G59" s="6"/>
      <c r="H59" s="91"/>
    </row>
    <row r="60" spans="2:4" ht="16.5" customHeight="1">
      <c r="B60" s="67"/>
      <c r="C60" s="25"/>
      <c r="D60" s="25"/>
    </row>
    <row r="61" spans="1:7" s="6" customFormat="1" ht="16.5" customHeight="1">
      <c r="A61" s="6" t="s">
        <v>64</v>
      </c>
      <c r="F61"/>
      <c r="G61" s="25"/>
    </row>
    <row r="63" spans="1:5" ht="16.5" customHeight="1">
      <c r="A63" s="89" t="s">
        <v>65</v>
      </c>
      <c r="B63" s="89"/>
      <c r="C63" s="89"/>
      <c r="D63" s="90">
        <f>D49</f>
        <v>75056.8</v>
      </c>
      <c r="E63" s="89"/>
    </row>
    <row r="64" spans="1:5" ht="16.5" customHeight="1">
      <c r="A64" s="89" t="s">
        <v>66</v>
      </c>
      <c r="B64" s="89"/>
      <c r="C64" s="89"/>
      <c r="D64" s="90">
        <f>SUM(B52:B56)+SUM(C52:C56)</f>
        <v>10349.443875536002</v>
      </c>
      <c r="E64" s="89"/>
    </row>
    <row r="65" spans="1:5" ht="16.5" customHeight="1">
      <c r="A65" s="89" t="s">
        <v>67</v>
      </c>
      <c r="B65" s="89"/>
      <c r="C65" s="89"/>
      <c r="D65" s="90">
        <f>D63-D64</f>
        <v>64707.356124464</v>
      </c>
      <c r="E65" s="89"/>
    </row>
    <row r="66" spans="1:5" ht="16.5" customHeight="1">
      <c r="A66" s="89" t="s">
        <v>68</v>
      </c>
      <c r="B66" s="89"/>
      <c r="C66" s="89"/>
      <c r="D66" s="90">
        <f>C32</f>
        <v>8132.331999999999</v>
      </c>
      <c r="E66" s="89"/>
    </row>
    <row r="67" spans="1:5" ht="16.5" customHeight="1">
      <c r="A67" s="89" t="s">
        <v>69</v>
      </c>
      <c r="B67" s="89"/>
      <c r="C67" s="89"/>
      <c r="D67" s="90">
        <f>D65+D66</f>
        <v>72839.688124464</v>
      </c>
      <c r="E67" s="89"/>
    </row>
    <row r="68" spans="1:5" ht="16.5" customHeight="1">
      <c r="A68" s="89" t="s">
        <v>70</v>
      </c>
      <c r="B68" s="89"/>
      <c r="C68" s="89"/>
      <c r="D68" s="90">
        <f>C20</f>
        <v>72826.83307817017</v>
      </c>
      <c r="E68" s="89"/>
    </row>
    <row r="69" spans="1:6" ht="16.5" customHeight="1">
      <c r="A69" s="89" t="s">
        <v>71</v>
      </c>
      <c r="B69" s="89"/>
      <c r="C69" s="89"/>
      <c r="D69" s="90">
        <f>D67-D68</f>
        <v>12.855046293829218</v>
      </c>
      <c r="E69" s="89"/>
      <c r="F69" s="6"/>
    </row>
    <row r="70" spans="1:5" ht="16.5" customHeight="1">
      <c r="A70" s="89"/>
      <c r="B70" s="89"/>
      <c r="C70" s="89"/>
      <c r="D70" s="89"/>
      <c r="E70" s="89"/>
    </row>
    <row r="71" spans="3:5" ht="16.5" customHeight="1">
      <c r="C71" s="6"/>
      <c r="E71" s="6"/>
    </row>
    <row r="72" ht="16.5" customHeight="1">
      <c r="B72" s="25"/>
    </row>
    <row r="73" spans="1:6" ht="16.5" customHeight="1">
      <c r="A73" s="10"/>
      <c r="B73" s="27"/>
      <c r="C73" s="27"/>
      <c r="D73" s="27"/>
      <c r="E73" s="10"/>
      <c r="F73" s="92"/>
    </row>
    <row r="74" spans="2:6" ht="16.5" customHeight="1">
      <c r="B74" s="25"/>
      <c r="C74" s="91"/>
      <c r="D74" s="25"/>
      <c r="F74" s="56"/>
    </row>
    <row r="75" spans="1:6" ht="16.5" customHeight="1">
      <c r="A75" s="3"/>
      <c r="B75" s="25"/>
      <c r="C75" s="91"/>
      <c r="D75" s="25"/>
      <c r="F75" s="9"/>
    </row>
    <row r="76" spans="2:6" ht="16.5" customHeight="1">
      <c r="B76" s="25"/>
      <c r="C76" s="93"/>
      <c r="F76" s="94"/>
    </row>
    <row r="77" spans="2:6" ht="16.5" customHeight="1">
      <c r="B77" s="25"/>
      <c r="C77" s="93"/>
      <c r="F77" s="94"/>
    </row>
    <row r="78" spans="2:6" ht="16.5" customHeight="1">
      <c r="B78" s="9"/>
      <c r="C78" s="9"/>
      <c r="D78" s="9"/>
      <c r="E78" s="9"/>
      <c r="F78" s="94"/>
    </row>
    <row r="79" spans="2:6" ht="16.5" customHeight="1">
      <c r="B79" s="9"/>
      <c r="C79" s="9"/>
      <c r="D79" s="9"/>
      <c r="E79" s="9"/>
      <c r="F79" s="94"/>
    </row>
    <row r="80" spans="2:5" ht="16.5" customHeight="1">
      <c r="B80" s="9"/>
      <c r="C80" s="9"/>
      <c r="D80" s="9"/>
      <c r="E80" s="9"/>
    </row>
    <row r="81" spans="4:5" ht="16.5" customHeight="1">
      <c r="D81" s="43"/>
      <c r="E81" s="43"/>
    </row>
    <row r="82" spans="4:6" ht="16.5" customHeight="1">
      <c r="D82" s="43"/>
      <c r="E82" s="43"/>
      <c r="F82" s="9"/>
    </row>
    <row r="83" spans="4:6" ht="16.5" customHeight="1">
      <c r="D83" s="43"/>
      <c r="E83" s="43"/>
      <c r="F83" s="9"/>
    </row>
    <row r="84" spans="4:6" ht="16.5" customHeight="1">
      <c r="D84" s="43"/>
      <c r="E84" s="43"/>
      <c r="F84" s="9"/>
    </row>
    <row r="85" ht="16.5" customHeight="1">
      <c r="F85" s="94"/>
    </row>
    <row r="86" ht="16.5" customHeight="1">
      <c r="F86" s="94"/>
    </row>
    <row r="87" spans="2:6" ht="16.5" customHeight="1">
      <c r="B87" s="9"/>
      <c r="C87" s="9"/>
      <c r="D87" s="9"/>
      <c r="E87" s="9"/>
      <c r="F87" s="94"/>
    </row>
    <row r="88" spans="2:6" ht="16.5" customHeight="1">
      <c r="B88" s="9"/>
      <c r="C88" s="9"/>
      <c r="D88" s="9"/>
      <c r="E88" s="9"/>
      <c r="F88" s="94"/>
    </row>
    <row r="89" spans="2:5" ht="16.5" customHeight="1">
      <c r="B89" s="9"/>
      <c r="C89" s="9"/>
      <c r="D89" s="9"/>
      <c r="E89" s="9"/>
    </row>
    <row r="90" spans="4:5" ht="16.5" customHeight="1">
      <c r="D90" s="43"/>
      <c r="E90" s="43"/>
    </row>
    <row r="91" spans="4:5" ht="16.5" customHeight="1">
      <c r="D91" s="43"/>
      <c r="E91" s="43"/>
    </row>
    <row r="92" spans="4:5" ht="16.5" customHeight="1">
      <c r="D92" s="43"/>
      <c r="E92" s="43"/>
    </row>
    <row r="93" spans="4:6" ht="16.5" customHeight="1">
      <c r="D93" s="43"/>
      <c r="E93" s="43"/>
      <c r="F93" s="9"/>
    </row>
    <row r="94" spans="2:6" ht="16.5" customHeight="1">
      <c r="B94" s="25"/>
      <c r="C94" s="91"/>
      <c r="F94" s="9"/>
    </row>
    <row r="95" spans="2:6" ht="16.5" customHeight="1">
      <c r="B95" s="25"/>
      <c r="C95" s="25"/>
      <c r="D95" s="25"/>
      <c r="F95" s="9"/>
    </row>
    <row r="96" spans="2:6" ht="16.5" customHeight="1">
      <c r="B96" s="25"/>
      <c r="C96" s="93"/>
      <c r="F96" s="94"/>
    </row>
    <row r="97" spans="2:6" ht="16.5" customHeight="1">
      <c r="B97" s="25"/>
      <c r="C97" s="93"/>
      <c r="F97" s="94"/>
    </row>
    <row r="98" spans="2:6" ht="16.5" customHeight="1">
      <c r="B98" s="9"/>
      <c r="C98" s="9"/>
      <c r="D98" s="9"/>
      <c r="E98" s="9"/>
      <c r="F98" s="94"/>
    </row>
    <row r="99" spans="2:6" ht="16.5" customHeight="1">
      <c r="B99" s="9"/>
      <c r="C99" s="9"/>
      <c r="D99" s="9"/>
      <c r="E99" s="9"/>
      <c r="F99" s="94"/>
    </row>
    <row r="100" spans="2:5" ht="16.5" customHeight="1">
      <c r="B100" s="9"/>
      <c r="C100" s="9"/>
      <c r="D100" s="9"/>
      <c r="E100" s="9"/>
    </row>
    <row r="101" spans="4:5" ht="16.5" customHeight="1">
      <c r="D101" s="43"/>
      <c r="E101" s="43"/>
    </row>
    <row r="102" spans="4:6" ht="16.5" customHeight="1">
      <c r="D102" s="43"/>
      <c r="E102" s="43"/>
      <c r="F102" s="9"/>
    </row>
    <row r="103" spans="4:6" ht="16.5" customHeight="1">
      <c r="D103" s="43"/>
      <c r="E103" s="43"/>
      <c r="F103" s="9"/>
    </row>
    <row r="104" spans="4:6" ht="16.5" customHeight="1">
      <c r="D104" s="43"/>
      <c r="E104" s="43"/>
      <c r="F104" s="9"/>
    </row>
    <row r="105" ht="16.5" customHeight="1">
      <c r="F105" s="94"/>
    </row>
    <row r="106" ht="16.5" customHeight="1">
      <c r="F106" s="94"/>
    </row>
    <row r="107" spans="2:6" ht="16.5" customHeight="1">
      <c r="B107" s="9"/>
      <c r="C107" s="9"/>
      <c r="D107" s="9"/>
      <c r="E107" s="9"/>
      <c r="F107" s="94"/>
    </row>
    <row r="108" spans="2:6" ht="16.5" customHeight="1">
      <c r="B108" s="9"/>
      <c r="C108" s="9"/>
      <c r="D108" s="9"/>
      <c r="E108" s="9"/>
      <c r="F108" s="94"/>
    </row>
    <row r="109" spans="2:5" ht="16.5" customHeight="1">
      <c r="B109" s="9"/>
      <c r="C109" s="9"/>
      <c r="D109" s="9"/>
      <c r="E109" s="9"/>
    </row>
    <row r="110" spans="4:5" ht="16.5" customHeight="1">
      <c r="D110" s="43"/>
      <c r="E110" s="43"/>
    </row>
    <row r="111" spans="4:5" ht="16.5" customHeight="1">
      <c r="D111" s="43"/>
      <c r="E111" s="43"/>
    </row>
    <row r="112" spans="4:5" ht="16.5" customHeight="1">
      <c r="D112" s="43"/>
      <c r="E112" s="43"/>
    </row>
    <row r="113" spans="4:5" ht="16.5" customHeight="1">
      <c r="D113" s="43"/>
      <c r="E113" s="43"/>
    </row>
  </sheetData>
  <sheetProtection/>
  <mergeCells count="2">
    <mergeCell ref="F47:G47"/>
    <mergeCell ref="H47:I47"/>
  </mergeCells>
  <printOptions gridLines="1"/>
  <pageMargins left="0.75" right="0.5" top="0.5" bottom="0.5"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B113"/>
  <sheetViews>
    <sheetView tabSelected="1" zoomScale="125" zoomScaleNormal="125" workbookViewId="0" topLeftCell="A23">
      <selection activeCell="F23" sqref="F23"/>
    </sheetView>
  </sheetViews>
  <sheetFormatPr defaultColWidth="12.57421875" defaultRowHeight="12.75"/>
  <cols>
    <col min="1" max="1" width="26.140625" style="0" customWidth="1"/>
    <col min="2" max="10" width="12.421875" style="0" customWidth="1"/>
    <col min="11" max="11" width="21.8515625" style="0" customWidth="1"/>
    <col min="12" max="16384" width="12.421875" style="0" customWidth="1"/>
  </cols>
  <sheetData>
    <row r="1" spans="1:9" ht="16.5" customHeight="1">
      <c r="A1" s="1" t="s">
        <v>123</v>
      </c>
      <c r="B1" s="1"/>
      <c r="C1" s="2"/>
      <c r="D1" s="2"/>
      <c r="E1" s="2"/>
      <c r="F1" s="2"/>
      <c r="G1" s="2"/>
      <c r="H1" s="2"/>
      <c r="I1" s="2"/>
    </row>
    <row r="2" spans="2:5" s="3" customFormat="1" ht="16.5" customHeight="1">
      <c r="B2" s="3" t="s">
        <v>0</v>
      </c>
      <c r="D2" s="4"/>
      <c r="E2" s="5"/>
    </row>
    <row r="3" spans="1:5" s="89" customFormat="1" ht="16.5" customHeight="1">
      <c r="A3" s="2" t="s">
        <v>72</v>
      </c>
      <c r="D3" s="95"/>
      <c r="E3" s="96"/>
    </row>
    <row r="4" spans="1:10" ht="16.5" customHeight="1">
      <c r="A4" s="3"/>
      <c r="B4" s="2"/>
      <c r="C4" s="3"/>
      <c r="D4" s="4"/>
      <c r="E4" s="5"/>
      <c r="F4" s="3"/>
      <c r="G4" s="3"/>
      <c r="H4" s="3"/>
      <c r="I4" s="3"/>
      <c r="J4" s="3"/>
    </row>
    <row r="5" spans="2:8" ht="16.5" customHeight="1">
      <c r="B5" s="6" t="s">
        <v>2</v>
      </c>
      <c r="H5" s="49"/>
    </row>
    <row r="6" spans="3:14" ht="16.5" customHeight="1">
      <c r="C6" s="6"/>
      <c r="F6" s="7"/>
      <c r="G6" s="7"/>
      <c r="H6" s="10"/>
      <c r="I6" s="10"/>
      <c r="J6" s="10"/>
      <c r="K6" s="10"/>
      <c r="L6" s="10"/>
      <c r="N6" s="11"/>
    </row>
    <row r="7" spans="1:23" ht="16.5" customHeight="1">
      <c r="A7" s="12" t="s">
        <v>3</v>
      </c>
      <c r="B7" s="13" t="s">
        <v>4</v>
      </c>
      <c r="C7" s="13" t="s">
        <v>5</v>
      </c>
      <c r="D7" s="14" t="s">
        <v>6</v>
      </c>
      <c r="F7" s="15"/>
      <c r="G7" s="8"/>
      <c r="K7" s="9"/>
      <c r="L7" s="10"/>
      <c r="M7" s="10"/>
      <c r="N7" s="10"/>
      <c r="O7" s="10"/>
      <c r="P7" s="10"/>
      <c r="R7" s="9"/>
      <c r="S7" s="10"/>
      <c r="T7" s="10"/>
      <c r="U7" s="10"/>
      <c r="V7" s="10"/>
      <c r="W7" s="10"/>
    </row>
    <row r="8" spans="1:18" ht="16.5" customHeight="1">
      <c r="A8" s="19" t="s">
        <v>7</v>
      </c>
      <c r="B8" s="97"/>
      <c r="C8" s="97"/>
      <c r="D8" s="14" t="s">
        <v>8</v>
      </c>
      <c r="F8" s="22"/>
      <c r="H8" s="25"/>
      <c r="K8" s="27"/>
      <c r="R8" s="27"/>
    </row>
    <row r="9" spans="1:22" ht="16.5" customHeight="1">
      <c r="A9" s="19" t="s">
        <v>10</v>
      </c>
      <c r="B9" s="140">
        <f>'Family expenses'!B11</f>
        <v>846.0088730487088</v>
      </c>
      <c r="C9" s="140">
        <f>B9*12</f>
        <v>10152.106476584506</v>
      </c>
      <c r="D9" s="28">
        <f>C9/C20</f>
        <v>0.13940063088679877</v>
      </c>
      <c r="E9" s="91"/>
      <c r="F9" s="22"/>
      <c r="G9" s="24"/>
      <c r="H9" s="25"/>
      <c r="K9" s="27"/>
      <c r="O9" s="11"/>
      <c r="R9" s="27"/>
      <c r="V9" s="11"/>
    </row>
    <row r="10" spans="1:23" ht="16.5" customHeight="1">
      <c r="A10" s="98" t="s">
        <v>11</v>
      </c>
      <c r="B10" s="140">
        <f>C10/12</f>
        <v>161.9987648221344</v>
      </c>
      <c r="C10" s="140">
        <f>'Family expenses'!B17</f>
        <v>1943.9851778656127</v>
      </c>
      <c r="D10" s="28">
        <f>C10/C20</f>
        <v>0.02669325433633777</v>
      </c>
      <c r="F10" s="31"/>
      <c r="G10" s="32"/>
      <c r="H10" s="25"/>
      <c r="K10" s="27"/>
      <c r="O10" s="11"/>
      <c r="P10" s="33"/>
      <c r="R10" s="27"/>
      <c r="V10" s="11"/>
      <c r="W10" s="33"/>
    </row>
    <row r="11" spans="1:23" ht="16.5" customHeight="1">
      <c r="A11" s="19" t="s">
        <v>12</v>
      </c>
      <c r="B11" s="140">
        <f>'Family expenses'!B27</f>
        <v>1786.954052128584</v>
      </c>
      <c r="C11" s="140">
        <f>B11*12</f>
        <v>21443.44862554301</v>
      </c>
      <c r="D11" s="28">
        <f>C11/C20</f>
        <v>0.2944443376046058</v>
      </c>
      <c r="F11" s="22"/>
      <c r="G11" s="25"/>
      <c r="H11" s="25"/>
      <c r="K11" s="27"/>
      <c r="O11" s="11"/>
      <c r="P11" s="33"/>
      <c r="R11" s="27"/>
      <c r="V11" s="11"/>
      <c r="W11" s="33"/>
    </row>
    <row r="12" spans="1:23" ht="16.5" customHeight="1">
      <c r="A12" s="98" t="s">
        <v>13</v>
      </c>
      <c r="B12" s="140">
        <f>C12/12</f>
        <v>484.43664089347084</v>
      </c>
      <c r="C12" s="140">
        <f>'Family expenses'!B35</f>
        <v>5813.23969072165</v>
      </c>
      <c r="D12" s="28">
        <f>C12/C20</f>
        <v>0.0798227719785905</v>
      </c>
      <c r="F12" s="31"/>
      <c r="H12" s="25"/>
      <c r="K12" s="27"/>
      <c r="O12" s="11"/>
      <c r="P12" s="33"/>
      <c r="R12" s="27"/>
      <c r="V12" s="11"/>
      <c r="W12" s="33"/>
    </row>
    <row r="13" spans="1:23" ht="16.5" customHeight="1">
      <c r="A13" s="19" t="s">
        <v>141</v>
      </c>
      <c r="B13" s="143">
        <f>C13/12</f>
        <v>760.0377589546157</v>
      </c>
      <c r="C13" s="143">
        <f>0.754*(C9+C10)</f>
        <v>9120.453107455389</v>
      </c>
      <c r="D13" s="28">
        <f>C13/C20</f>
        <v>0.12523478945824493</v>
      </c>
      <c r="F13" s="22"/>
      <c r="G13" s="25"/>
      <c r="H13" s="25"/>
      <c r="K13" s="27"/>
      <c r="M13" s="10"/>
      <c r="O13" s="11"/>
      <c r="P13" s="33"/>
      <c r="R13" s="27"/>
      <c r="T13" s="10"/>
      <c r="V13" s="11"/>
      <c r="W13" s="33"/>
    </row>
    <row r="14" spans="1:23" s="42" customFormat="1" ht="16.5" customHeight="1">
      <c r="A14" s="40" t="s">
        <v>14</v>
      </c>
      <c r="B14" s="144"/>
      <c r="C14" s="144">
        <f>SUM(C9:C13)</f>
        <v>48473.23307817017</v>
      </c>
      <c r="D14" s="41">
        <f>C14/C20</f>
        <v>0.6655957842645778</v>
      </c>
      <c r="E14"/>
      <c r="F14" s="15"/>
      <c r="G14" s="99"/>
      <c r="H14" s="25"/>
      <c r="I14"/>
      <c r="J14"/>
      <c r="K14" s="27"/>
      <c r="L14"/>
      <c r="M14"/>
      <c r="N14"/>
      <c r="O14" s="11"/>
      <c r="P14" s="33"/>
      <c r="R14" s="27"/>
      <c r="S14"/>
      <c r="T14"/>
      <c r="U14"/>
      <c r="V14" s="11"/>
      <c r="W14" s="33"/>
    </row>
    <row r="15" spans="1:23" ht="16.5" customHeight="1">
      <c r="A15" s="100" t="s">
        <v>15</v>
      </c>
      <c r="B15" s="140">
        <f>C15/12</f>
        <v>1400.8333333333333</v>
      </c>
      <c r="C15" s="140">
        <f>'Family expenses'!B46</f>
        <v>16810</v>
      </c>
      <c r="D15" s="28">
        <f>C15/C20</f>
        <v>0.23082151577230667</v>
      </c>
      <c r="F15" s="22"/>
      <c r="G15" s="24"/>
      <c r="H15" s="43"/>
      <c r="I15" s="43"/>
      <c r="K15" s="27"/>
      <c r="M15" s="10"/>
      <c r="O15" s="11"/>
      <c r="P15" s="33"/>
      <c r="R15" s="27"/>
      <c r="T15" s="10"/>
      <c r="V15" s="11"/>
      <c r="W15" s="33"/>
    </row>
    <row r="16" spans="1:23" ht="16.5" customHeight="1">
      <c r="A16" s="19" t="s">
        <v>142</v>
      </c>
      <c r="B16" s="140">
        <f>'Family expenses'!B52</f>
        <v>145</v>
      </c>
      <c r="C16" s="140">
        <f>B16*12</f>
        <v>1740</v>
      </c>
      <c r="D16" s="28">
        <f>C16/C20</f>
        <v>0.02389229253086339</v>
      </c>
      <c r="F16" s="17"/>
      <c r="G16" s="24"/>
      <c r="K16" s="27"/>
      <c r="L16" s="43"/>
      <c r="O16" s="11"/>
      <c r="P16" s="33"/>
      <c r="R16" s="27"/>
      <c r="S16" s="43"/>
      <c r="V16" s="11"/>
      <c r="W16" s="33"/>
    </row>
    <row r="17" spans="1:23" ht="16.5" customHeight="1">
      <c r="A17" s="19" t="s">
        <v>16</v>
      </c>
      <c r="B17" s="143">
        <f>IF((N31-3*3000+N29/2-N27)&gt;42000,150,IF((N31-3*3000+N29/2-N27)&gt;38000,130,IF((N31-3*3000+N29/2-N27)&gt;34000,112,IF((N31-3*3000+N29/2-N27)&gt;30000,92,IF((N31-3*3000+N29/2-N27)&gt;28000,70,IF((N31-3*3000+N29/2-N27)&gt;26000,46,IF((N31-3*3000+N29/2-N27)&gt;24000,22,0)))))))</f>
        <v>150</v>
      </c>
      <c r="C17" s="143">
        <f>B17*12</f>
        <v>1800</v>
      </c>
      <c r="D17" s="28">
        <f>C17/C20</f>
        <v>0.02471616468710006</v>
      </c>
      <c r="F17" s="22"/>
      <c r="G17" s="24"/>
      <c r="K17" s="27"/>
      <c r="M17" s="2"/>
      <c r="O17" s="11"/>
      <c r="P17" s="33"/>
      <c r="R17" s="27"/>
      <c r="T17" s="2"/>
      <c r="V17" s="11"/>
      <c r="W17" s="33"/>
    </row>
    <row r="18" spans="1:23" ht="16.5" customHeight="1">
      <c r="A18" s="19" t="s">
        <v>144</v>
      </c>
      <c r="B18" s="143">
        <f>C18/12</f>
        <v>240.5666666666667</v>
      </c>
      <c r="C18" s="143">
        <f>B46*B47*2+C46*C47*2</f>
        <v>2886.8</v>
      </c>
      <c r="D18" s="28">
        <f>C18/C20</f>
        <v>0.03963923567706692</v>
      </c>
      <c r="F18" s="22"/>
      <c r="G18" s="24"/>
      <c r="H18" s="2"/>
      <c r="I18" s="2"/>
      <c r="K18" s="27"/>
      <c r="O18" s="11"/>
      <c r="P18" s="33"/>
      <c r="R18" s="27"/>
      <c r="V18" s="11"/>
      <c r="W18" s="33"/>
    </row>
    <row r="19" spans="1:22" ht="16.5" customHeight="1">
      <c r="A19" s="19" t="s">
        <v>17</v>
      </c>
      <c r="B19" s="140">
        <f>C19/12</f>
        <v>93.06666666666666</v>
      </c>
      <c r="C19" s="140">
        <f>'Family expenses'!B58</f>
        <v>1116.8</v>
      </c>
      <c r="D19" s="28">
        <f>C19/C20</f>
        <v>0.015335007068085191</v>
      </c>
      <c r="F19" s="22"/>
      <c r="G19" s="46"/>
      <c r="I19" s="2"/>
      <c r="K19" s="27"/>
      <c r="L19" s="2"/>
      <c r="M19" s="2"/>
      <c r="O19" s="11"/>
      <c r="Q19" s="27"/>
      <c r="R19" s="2"/>
      <c r="S19" s="2"/>
      <c r="U19" s="11"/>
      <c r="V19" s="33"/>
    </row>
    <row r="20" spans="1:22" ht="16.5" customHeight="1">
      <c r="A20" s="19" t="s">
        <v>18</v>
      </c>
      <c r="B20" s="143">
        <f>SUM(B8:B19)</f>
        <v>6068.90275651418</v>
      </c>
      <c r="C20" s="143">
        <f>SUM(C9:C19)-C14</f>
        <v>72826.83307817017</v>
      </c>
      <c r="D20" s="28">
        <f>C20/C20</f>
        <v>1</v>
      </c>
      <c r="F20" s="17"/>
      <c r="G20" s="37"/>
      <c r="I20" s="2"/>
      <c r="K20" s="27"/>
      <c r="L20" s="2"/>
      <c r="O20" s="11"/>
      <c r="Q20" s="27"/>
      <c r="R20" s="2"/>
      <c r="U20" s="11"/>
      <c r="V20" s="33"/>
    </row>
    <row r="21" spans="1:22" ht="16.5" customHeight="1">
      <c r="A21" s="7"/>
      <c r="B21" s="24"/>
      <c r="C21" s="24"/>
      <c r="D21" s="24"/>
      <c r="F21" s="24"/>
      <c r="G21" s="24"/>
      <c r="I21" s="2"/>
      <c r="K21" s="27"/>
      <c r="L21" s="2"/>
      <c r="N21" s="25"/>
      <c r="O21" s="11"/>
      <c r="Q21" s="27"/>
      <c r="R21" s="2"/>
      <c r="U21" s="11"/>
      <c r="V21" s="33"/>
    </row>
    <row r="22" spans="1:27" ht="16.5" customHeight="1">
      <c r="A22" s="7"/>
      <c r="B22" s="24"/>
      <c r="C22" s="24"/>
      <c r="D22" s="24"/>
      <c r="E22" s="24"/>
      <c r="F22" s="24"/>
      <c r="G22" s="24"/>
      <c r="H22" s="38"/>
      <c r="I22" s="24"/>
      <c r="J22" s="35"/>
      <c r="K22" s="25"/>
      <c r="L22" s="27"/>
      <c r="N22" s="2"/>
      <c r="P22" s="2"/>
      <c r="S22" s="11"/>
      <c r="T22" s="33"/>
      <c r="V22" s="27"/>
      <c r="W22" s="2"/>
      <c r="Z22" s="11"/>
      <c r="AA22" s="33"/>
    </row>
    <row r="23" spans="2:27" ht="16.5" customHeight="1">
      <c r="B23" s="6" t="s">
        <v>20</v>
      </c>
      <c r="K23" s="6" t="s">
        <v>73</v>
      </c>
      <c r="L23" s="27"/>
      <c r="N23" s="2"/>
      <c r="P23" s="2"/>
      <c r="S23" s="11"/>
      <c r="T23" s="33"/>
      <c r="V23" s="27"/>
      <c r="W23" s="2"/>
      <c r="Z23" s="11"/>
      <c r="AA23" s="33"/>
    </row>
    <row r="24" spans="3:27" ht="16.5" customHeight="1">
      <c r="C24" s="6"/>
      <c r="L24" s="27"/>
      <c r="N24" s="2"/>
      <c r="P24" s="2"/>
      <c r="Q24" s="2"/>
      <c r="R24" s="10"/>
      <c r="S24" s="51"/>
      <c r="T24" s="52"/>
      <c r="V24" s="50"/>
      <c r="W24" s="2"/>
      <c r="X24" s="2"/>
      <c r="Y24" s="10"/>
      <c r="Z24" s="51"/>
      <c r="AA24" s="52"/>
    </row>
    <row r="25" spans="1:28" ht="16.5" customHeight="1">
      <c r="A25" s="101" t="s">
        <v>9</v>
      </c>
      <c r="B25" s="102" t="s">
        <v>4</v>
      </c>
      <c r="C25" s="102" t="s">
        <v>5</v>
      </c>
      <c r="D25" s="9"/>
      <c r="E25" s="54" t="s">
        <v>74</v>
      </c>
      <c r="F25" s="54" t="s">
        <v>117</v>
      </c>
      <c r="G25" s="54" t="s">
        <v>118</v>
      </c>
      <c r="H25" s="55" t="s">
        <v>119</v>
      </c>
      <c r="I25" s="9"/>
      <c r="K25" s="12" t="s">
        <v>121</v>
      </c>
      <c r="L25" s="13" t="s">
        <v>43</v>
      </c>
      <c r="M25" s="13" t="s">
        <v>44</v>
      </c>
      <c r="N25" s="13" t="s">
        <v>18</v>
      </c>
      <c r="P25" s="50"/>
      <c r="Q25" s="76"/>
      <c r="R25" s="76"/>
      <c r="S25" s="64"/>
      <c r="T25" s="51"/>
      <c r="U25" s="52"/>
      <c r="W25" s="50"/>
      <c r="X25" s="2"/>
      <c r="Y25" s="2"/>
      <c r="Z25" s="10"/>
      <c r="AA25" s="51"/>
      <c r="AB25" s="52"/>
    </row>
    <row r="26" spans="1:28" ht="16.5" customHeight="1">
      <c r="A26" s="19" t="s">
        <v>128</v>
      </c>
      <c r="B26" s="143">
        <f>C26/12</f>
        <v>621.8753333333334</v>
      </c>
      <c r="C26" s="143">
        <f>MAX(0,E26)</f>
        <v>7462.504000000001</v>
      </c>
      <c r="D26" s="56"/>
      <c r="E26" s="63">
        <f>IF((N31-N27)&lt;F26,(5400+6400),IF((N31-N27)&lt;G26,(5400+6400-(N31-N27-F26)*0.135),(5400+6400-(G26-F26)*0.135-(N31-N27-G26)*0.057)))</f>
        <v>7462.504000000001</v>
      </c>
      <c r="F26" s="58">
        <v>30000</v>
      </c>
      <c r="G26" s="58">
        <v>65000</v>
      </c>
      <c r="H26" s="161">
        <f>(6400+5400-(G26-F26)*0.135)/0.057+G26</f>
        <v>189122.80701754385</v>
      </c>
      <c r="K26" s="19" t="s">
        <v>75</v>
      </c>
      <c r="L26" s="140">
        <v>37564.799999999996</v>
      </c>
      <c r="M26" s="140">
        <v>37564.799999999996</v>
      </c>
      <c r="N26" s="140">
        <f aca="true" t="shared" si="0" ref="N26:N36">SUM(L26:M26)</f>
        <v>75129.59999999999</v>
      </c>
      <c r="P26" s="27"/>
      <c r="Q26" s="76"/>
      <c r="R26" s="25"/>
      <c r="S26" s="25"/>
      <c r="T26" s="11"/>
      <c r="U26" s="33"/>
      <c r="W26" s="27"/>
      <c r="X26" s="2"/>
      <c r="AA26" s="11"/>
      <c r="AB26" s="33"/>
    </row>
    <row r="27" spans="1:28" ht="16.5" customHeight="1">
      <c r="A27" s="19" t="s">
        <v>25</v>
      </c>
      <c r="B27" s="143">
        <v>55</v>
      </c>
      <c r="C27" s="143">
        <f>12*B27</f>
        <v>660</v>
      </c>
      <c r="D27" s="59"/>
      <c r="E27" s="63"/>
      <c r="F27" s="58"/>
      <c r="G27" s="58"/>
      <c r="H27" s="161"/>
      <c r="K27" s="19" t="s">
        <v>130</v>
      </c>
      <c r="L27" s="140">
        <v>1320</v>
      </c>
      <c r="M27" s="140"/>
      <c r="N27" s="140">
        <f t="shared" si="0"/>
        <v>1320</v>
      </c>
      <c r="P27" s="27"/>
      <c r="Q27" s="76"/>
      <c r="R27" s="25"/>
      <c r="S27" s="25"/>
      <c r="T27" s="11"/>
      <c r="U27" s="33"/>
      <c r="W27" s="27"/>
      <c r="X27" s="2"/>
      <c r="AA27" s="11"/>
      <c r="AB27" s="33"/>
    </row>
    <row r="28" spans="1:28" ht="16.5" customHeight="1">
      <c r="A28" s="19" t="s">
        <v>26</v>
      </c>
      <c r="B28" s="143">
        <f>(C28)/12</f>
        <v>0</v>
      </c>
      <c r="C28" s="143">
        <f>MAX(0,E28)</f>
        <v>0</v>
      </c>
      <c r="D28" s="59"/>
      <c r="E28" s="35">
        <f>IF((N31-N27)&lt;F28,2*(276+145),2*(276+145)-(N31-N27-F28)*0.05)</f>
        <v>-468.1799999999996</v>
      </c>
      <c r="F28" s="62">
        <v>35926</v>
      </c>
      <c r="G28" s="62">
        <f>(276*2+145*2)/0.05+F28</f>
        <v>52766</v>
      </c>
      <c r="H28" s="167"/>
      <c r="K28" s="19"/>
      <c r="L28" s="140"/>
      <c r="M28" s="140"/>
      <c r="N28" s="140"/>
      <c r="P28" s="27"/>
      <c r="Q28" s="76"/>
      <c r="R28" s="25"/>
      <c r="S28" s="25"/>
      <c r="T28" s="11"/>
      <c r="U28" s="33"/>
      <c r="W28" s="27"/>
      <c r="X28" s="2"/>
      <c r="AA28" s="11"/>
      <c r="AB28" s="33"/>
    </row>
    <row r="29" spans="1:28" ht="16.5" customHeight="1">
      <c r="A29" s="19" t="s">
        <v>27</v>
      </c>
      <c r="B29" s="140">
        <v>0</v>
      </c>
      <c r="C29" s="140">
        <f>12*B29</f>
        <v>0</v>
      </c>
      <c r="D29" s="35" t="s">
        <v>122</v>
      </c>
      <c r="F29" s="34"/>
      <c r="G29" s="35"/>
      <c r="H29" s="25"/>
      <c r="I29" s="25"/>
      <c r="K29" s="19" t="s">
        <v>76</v>
      </c>
      <c r="L29" s="140">
        <v>13000</v>
      </c>
      <c r="M29" s="140"/>
      <c r="N29" s="140">
        <f t="shared" si="0"/>
        <v>13000</v>
      </c>
      <c r="P29" s="103"/>
      <c r="Q29" s="76"/>
      <c r="R29" s="25"/>
      <c r="S29" s="25"/>
      <c r="T29" s="11"/>
      <c r="U29" s="33"/>
      <c r="W29" s="27"/>
      <c r="X29" s="2"/>
      <c r="AA29" s="11"/>
      <c r="AB29" s="33"/>
    </row>
    <row r="30" spans="1:28" ht="16.5" customHeight="1">
      <c r="A30" s="19" t="s">
        <v>29</v>
      </c>
      <c r="B30" s="143">
        <f>C30/12</f>
        <v>0</v>
      </c>
      <c r="C30" s="143">
        <f>MAX(0,E30)</f>
        <v>0</v>
      </c>
      <c r="D30" s="56"/>
      <c r="E30" s="37">
        <f>IF((N31-N27)&lt;F30,2*(115.5+34.5),2*(115.5+34.5)-(N31-N27-F30)*0.02)</f>
        <v>-178.73199999999986</v>
      </c>
      <c r="F30" s="62">
        <v>38193</v>
      </c>
      <c r="G30" s="62">
        <f>(115.5+115.5+34.5+34.5)/0.02+F30</f>
        <v>53193</v>
      </c>
      <c r="H30" s="25"/>
      <c r="I30" s="25"/>
      <c r="K30" s="19" t="s">
        <v>77</v>
      </c>
      <c r="L30" s="140">
        <f>L27-L29</f>
        <v>-11680</v>
      </c>
      <c r="M30" s="140"/>
      <c r="N30" s="140">
        <f>SUM(L30:M30)</f>
        <v>-11680</v>
      </c>
      <c r="P30" s="27"/>
      <c r="Q30" s="76"/>
      <c r="R30" s="25"/>
      <c r="S30" s="25"/>
      <c r="T30" s="11"/>
      <c r="U30" s="33"/>
      <c r="W30" s="27"/>
      <c r="X30" s="2"/>
      <c r="AA30" s="11"/>
      <c r="AB30" s="33"/>
    </row>
    <row r="31" spans="1:28" ht="16.5" customHeight="1">
      <c r="A31" s="19" t="s">
        <v>30</v>
      </c>
      <c r="B31" s="140">
        <v>0</v>
      </c>
      <c r="C31" s="140">
        <f>B31*12</f>
        <v>0</v>
      </c>
      <c r="D31" s="35"/>
      <c r="E31" s="63"/>
      <c r="F31" s="35"/>
      <c r="H31" s="25"/>
      <c r="I31" s="25"/>
      <c r="K31" s="19" t="s">
        <v>78</v>
      </c>
      <c r="L31" s="140">
        <v>25884.799999999996</v>
      </c>
      <c r="M31" s="140">
        <v>37564.799999999996</v>
      </c>
      <c r="N31" s="140">
        <f>SUM(L31:M31)</f>
        <v>63449.59999999999</v>
      </c>
      <c r="P31" s="164"/>
      <c r="Q31" s="76"/>
      <c r="R31" s="25"/>
      <c r="S31" s="25"/>
      <c r="T31" s="11"/>
      <c r="U31" s="33"/>
      <c r="W31" s="27"/>
      <c r="X31" s="2"/>
      <c r="AA31" s="11"/>
      <c r="AB31" s="33"/>
    </row>
    <row r="32" spans="1:28" ht="16.5" customHeight="1">
      <c r="A32" s="19" t="s">
        <v>18</v>
      </c>
      <c r="B32" s="143">
        <f>SUM(B26:B31)</f>
        <v>676.8753333333334</v>
      </c>
      <c r="C32" s="143">
        <f>SUM(C26:C31)</f>
        <v>8122.504000000001</v>
      </c>
      <c r="D32" t="s">
        <v>136</v>
      </c>
      <c r="H32" s="25"/>
      <c r="J32" s="25"/>
      <c r="K32" s="19" t="s">
        <v>79</v>
      </c>
      <c r="L32" s="140">
        <v>706.2182399999999</v>
      </c>
      <c r="M32" s="140">
        <v>706.2182399999999</v>
      </c>
      <c r="N32" s="140">
        <f>SUM(L32:M32)</f>
        <v>1412.4364799999998</v>
      </c>
      <c r="P32" s="27"/>
      <c r="Q32" s="76"/>
      <c r="R32" s="25"/>
      <c r="S32" s="25"/>
      <c r="T32" s="11"/>
      <c r="U32" s="33"/>
      <c r="W32" s="27"/>
      <c r="X32" s="2"/>
      <c r="AA32" s="11"/>
      <c r="AB32" s="33"/>
    </row>
    <row r="33" spans="1:27" ht="16.5" customHeight="1">
      <c r="A33" s="122"/>
      <c r="B33" s="162"/>
      <c r="C33" s="162"/>
      <c r="H33" s="25"/>
      <c r="I33" s="25"/>
      <c r="K33" s="19" t="s">
        <v>80</v>
      </c>
      <c r="L33" s="140">
        <v>1686.2076</v>
      </c>
      <c r="M33" s="140">
        <v>1686.2076</v>
      </c>
      <c r="N33" s="140">
        <f t="shared" si="0"/>
        <v>3372.4152</v>
      </c>
      <c r="P33" s="27"/>
      <c r="Q33" s="25"/>
      <c r="R33" s="25"/>
      <c r="S33" s="25"/>
      <c r="T33" s="11"/>
      <c r="W33" s="27"/>
      <c r="AA33" s="11"/>
    </row>
    <row r="34" spans="1:28" ht="16.5" customHeight="1">
      <c r="A34" s="122"/>
      <c r="B34" s="88"/>
      <c r="C34" s="88"/>
      <c r="E34" s="49"/>
      <c r="I34" s="25"/>
      <c r="K34" s="19" t="s">
        <v>81</v>
      </c>
      <c r="L34" s="140">
        <v>1519.1877239999994</v>
      </c>
      <c r="M34" s="140">
        <v>2869.3461239999992</v>
      </c>
      <c r="N34" s="140">
        <f t="shared" si="0"/>
        <v>4388.533847999999</v>
      </c>
      <c r="P34" s="27"/>
      <c r="Q34" s="76"/>
      <c r="R34" s="25"/>
      <c r="S34" s="25"/>
      <c r="T34" s="11"/>
      <c r="U34" s="33"/>
      <c r="W34" s="27"/>
      <c r="X34" s="2"/>
      <c r="AA34" s="11"/>
      <c r="AB34" s="33"/>
    </row>
    <row r="35" spans="2:25" ht="16.5" customHeight="1">
      <c r="B35" s="6" t="s">
        <v>31</v>
      </c>
      <c r="K35" s="19" t="s">
        <v>82</v>
      </c>
      <c r="L35" s="140">
        <v>449.7116588959997</v>
      </c>
      <c r="M35" s="140">
        <v>1169.3646924959999</v>
      </c>
      <c r="N35" s="140">
        <f t="shared" si="0"/>
        <v>1619.0763513919997</v>
      </c>
      <c r="P35" s="27"/>
      <c r="Q35" s="64"/>
      <c r="R35" s="64"/>
      <c r="S35" s="25"/>
      <c r="W35" s="27"/>
      <c r="X35" s="10"/>
      <c r="Y35" s="10"/>
    </row>
    <row r="36" spans="1:14" ht="16.5" customHeight="1">
      <c r="A36" s="3"/>
      <c r="K36" s="19" t="s">
        <v>83</v>
      </c>
      <c r="L36" s="140">
        <f>L26-SUM(L32:L35)</f>
        <v>33203.474777104</v>
      </c>
      <c r="M36" s="140">
        <f>M26-SUM(M32:M35)</f>
        <v>31133.663343504</v>
      </c>
      <c r="N36" s="140">
        <f t="shared" si="0"/>
        <v>64337.138120608</v>
      </c>
    </row>
    <row r="37" spans="1:14" ht="16.5" customHeight="1">
      <c r="A37" s="65"/>
      <c r="B37" s="13"/>
      <c r="C37" s="13" t="s">
        <v>5</v>
      </c>
      <c r="D37" s="9"/>
      <c r="E37" s="53" t="s">
        <v>32</v>
      </c>
      <c r="F37" s="13"/>
      <c r="G37" s="13"/>
      <c r="H37" s="66"/>
      <c r="I37" s="9"/>
      <c r="K37" s="7"/>
      <c r="L37" s="104"/>
      <c r="M37" s="24"/>
      <c r="N37" s="105"/>
    </row>
    <row r="38" spans="1:12" ht="16.5" customHeight="1">
      <c r="A38" s="19" t="s">
        <v>33</v>
      </c>
      <c r="B38" s="20"/>
      <c r="C38" s="143">
        <f>C32+D57</f>
        <v>72829.860124464</v>
      </c>
      <c r="E38" s="14" t="s">
        <v>34</v>
      </c>
      <c r="F38" s="14" t="s">
        <v>35</v>
      </c>
      <c r="G38" s="14" t="s">
        <v>36</v>
      </c>
      <c r="H38" s="68" t="s">
        <v>37</v>
      </c>
      <c r="I38" s="68" t="s">
        <v>84</v>
      </c>
      <c r="L38" s="164"/>
    </row>
    <row r="39" spans="1:27" ht="16.5" customHeight="1">
      <c r="A39" s="19" t="s">
        <v>39</v>
      </c>
      <c r="B39" s="20"/>
      <c r="C39" s="143">
        <f>C20</f>
        <v>72826.83307817017</v>
      </c>
      <c r="E39" s="14">
        <v>4</v>
      </c>
      <c r="F39" s="14">
        <v>550</v>
      </c>
      <c r="G39" s="69">
        <f>1418+1500</f>
        <v>2918</v>
      </c>
      <c r="H39" s="70">
        <f>F39-F39/(F39+F40)*0.5*((N36/12)-G39)</f>
        <v>-334.1351955227193</v>
      </c>
      <c r="I39" s="70">
        <f>(B15-H39)*12</f>
        <v>20819.622346272634</v>
      </c>
      <c r="L39" s="165"/>
      <c r="N39" s="91"/>
      <c r="P39" s="9"/>
      <c r="Q39" s="10"/>
      <c r="R39" s="10"/>
      <c r="S39" s="10"/>
      <c r="T39" s="64"/>
      <c r="W39" s="9"/>
      <c r="X39" s="10"/>
      <c r="Y39" s="10"/>
      <c r="Z39" s="10"/>
      <c r="AA39" s="64"/>
    </row>
    <row r="40" spans="1:14" ht="16.5" customHeight="1">
      <c r="A40" s="19" t="s">
        <v>40</v>
      </c>
      <c r="B40" s="20"/>
      <c r="C40" s="143">
        <f>C38-C39</f>
        <v>3.0270462938351557</v>
      </c>
      <c r="E40" s="14">
        <v>7</v>
      </c>
      <c r="F40" s="14">
        <v>210</v>
      </c>
      <c r="G40" s="69">
        <f>1418+515</f>
        <v>1933</v>
      </c>
      <c r="H40" s="70">
        <f>F40-F40/(F39+F40)*0.5*((N36/12)-G40)</f>
        <v>-263.66441915173687</v>
      </c>
      <c r="I40" s="70">
        <f>(B15-H40)*12</f>
        <v>19973.97302982084</v>
      </c>
      <c r="K40" s="25"/>
      <c r="L40" s="25"/>
      <c r="M40" s="25"/>
      <c r="N40" s="25"/>
    </row>
    <row r="41" spans="1:14" ht="16.5" customHeight="1">
      <c r="A41" s="7"/>
      <c r="B41" s="24"/>
      <c r="C41" s="24"/>
      <c r="G41" s="71"/>
      <c r="H41" s="72" t="s">
        <v>41</v>
      </c>
      <c r="I41" s="70">
        <f>(B15-H39-H40)*12</f>
        <v>23983.595376093475</v>
      </c>
      <c r="K41" s="25"/>
      <c r="L41" s="25"/>
      <c r="M41" s="25"/>
      <c r="N41" s="25"/>
    </row>
    <row r="42" spans="1:14" ht="16.5" customHeight="1">
      <c r="A42" s="71"/>
      <c r="B42" s="71"/>
      <c r="C42" s="71"/>
      <c r="D42" s="71"/>
      <c r="E42" s="71"/>
      <c r="F42" s="71"/>
      <c r="H42" s="25"/>
      <c r="I42" s="25"/>
      <c r="K42" s="25"/>
      <c r="L42" s="25"/>
      <c r="M42" s="25"/>
      <c r="N42" s="25"/>
    </row>
    <row r="43" spans="1:13" ht="16.5" customHeight="1">
      <c r="A43" s="106" t="s">
        <v>42</v>
      </c>
      <c r="B43" s="71"/>
      <c r="C43" s="71"/>
      <c r="D43" s="71"/>
      <c r="E43" s="71"/>
      <c r="F43" s="71"/>
      <c r="K43" s="25"/>
      <c r="L43" s="25"/>
      <c r="M43" s="25"/>
    </row>
    <row r="44" spans="1:13" ht="16.5" customHeight="1">
      <c r="A44" s="71"/>
      <c r="B44" s="107"/>
      <c r="C44" s="71"/>
      <c r="D44" s="71"/>
      <c r="E44" s="71"/>
      <c r="F44" s="71"/>
      <c r="K44" s="25"/>
      <c r="L44" s="25"/>
      <c r="M44" s="25"/>
    </row>
    <row r="45" spans="1:13" ht="16.5" customHeight="1">
      <c r="A45" s="102"/>
      <c r="B45" s="102" t="s">
        <v>43</v>
      </c>
      <c r="C45" s="102" t="s">
        <v>44</v>
      </c>
      <c r="D45" s="102" t="s">
        <v>18</v>
      </c>
      <c r="E45" s="108"/>
      <c r="F45" s="107"/>
      <c r="G45" s="74"/>
      <c r="H45" s="74"/>
      <c r="K45" s="25"/>
      <c r="L45" s="25"/>
      <c r="M45" s="25"/>
    </row>
    <row r="46" spans="1:13" ht="16.5" customHeight="1">
      <c r="A46" s="98" t="s">
        <v>45</v>
      </c>
      <c r="B46" s="98">
        <v>35</v>
      </c>
      <c r="C46" s="109">
        <v>35</v>
      </c>
      <c r="D46" s="98">
        <f>B46+C46</f>
        <v>70</v>
      </c>
      <c r="E46" s="110"/>
      <c r="F46" s="180" t="s">
        <v>46</v>
      </c>
      <c r="G46" s="181"/>
      <c r="H46" s="181"/>
      <c r="I46" s="182"/>
      <c r="K46" s="25"/>
      <c r="L46" s="25"/>
      <c r="M46" s="25"/>
    </row>
    <row r="47" spans="1:13" ht="16.5" customHeight="1">
      <c r="A47" s="98" t="s">
        <v>47</v>
      </c>
      <c r="B47" s="168">
        <v>20.62</v>
      </c>
      <c r="C47" s="77">
        <f>B47</f>
        <v>20.62</v>
      </c>
      <c r="D47" s="98"/>
      <c r="E47" s="110"/>
      <c r="F47" s="178" t="s">
        <v>43</v>
      </c>
      <c r="G47" s="179"/>
      <c r="H47" s="178" t="s">
        <v>44</v>
      </c>
      <c r="I47" s="179"/>
      <c r="J47" s="27"/>
      <c r="K47" s="25"/>
      <c r="L47" s="25"/>
      <c r="M47" s="25"/>
    </row>
    <row r="48" spans="1:13" s="27" customFormat="1" ht="16.5" customHeight="1">
      <c r="A48" s="111"/>
      <c r="B48" s="145"/>
      <c r="C48" s="146"/>
      <c r="D48" s="145"/>
      <c r="E48" s="71"/>
      <c r="F48" s="79" t="s">
        <v>50</v>
      </c>
      <c r="G48" s="80">
        <f>MIN((MIN('Family expenses'!B42,8000)+MIN(SUM('Family expenses'!B43:B45),5000)),(C15-C31))</f>
        <v>13000</v>
      </c>
      <c r="H48" s="163" t="s">
        <v>115</v>
      </c>
      <c r="I48" s="80">
        <v>1000</v>
      </c>
      <c r="J48" s="2"/>
      <c r="K48" s="25"/>
      <c r="L48" s="103"/>
      <c r="M48" s="103"/>
    </row>
    <row r="49" spans="1:13" s="2" customFormat="1" ht="16.5" customHeight="1">
      <c r="A49" s="98" t="s">
        <v>48</v>
      </c>
      <c r="B49" s="147">
        <f>B47*B46*52</f>
        <v>37528.4</v>
      </c>
      <c r="C49" s="147">
        <f>C47*C46*52</f>
        <v>37528.4</v>
      </c>
      <c r="D49" s="147">
        <f aca="true" t="shared" si="1" ref="D49:D56">B49+C49</f>
        <v>75056.8</v>
      </c>
      <c r="E49" s="71"/>
      <c r="F49" s="79" t="s">
        <v>53</v>
      </c>
      <c r="G49" s="82">
        <f>(C16-B51*0.03)</f>
        <v>1004.148</v>
      </c>
      <c r="H49" s="37" t="s">
        <v>137</v>
      </c>
      <c r="I49" s="80">
        <v>250</v>
      </c>
      <c r="K49" s="25"/>
      <c r="L49" s="76"/>
      <c r="M49" s="76"/>
    </row>
    <row r="50" spans="1:11" s="2" customFormat="1" ht="16.5" customHeight="1">
      <c r="A50" s="98" t="s">
        <v>49</v>
      </c>
      <c r="B50" s="147">
        <f>-G48</f>
        <v>-13000</v>
      </c>
      <c r="C50" s="147"/>
      <c r="D50" s="147"/>
      <c r="E50" s="71"/>
      <c r="F50" s="79" t="s">
        <v>56</v>
      </c>
      <c r="G50" s="82">
        <f>IF(D51&lt;50017,IF((0.25*(C16-B51*0.03)-0.05*(D51-26277))&gt;0,(0.25*(C16-B51*0.03)-0.05*(D51-26277)),0),0)</f>
        <v>0</v>
      </c>
      <c r="H50" s="34" t="s">
        <v>51</v>
      </c>
      <c r="I50" s="81">
        <f>'Family expenses'!B33+'Family expenses'!B34</f>
        <v>818</v>
      </c>
      <c r="J50"/>
      <c r="K50" s="27"/>
    </row>
    <row r="51" spans="1:11" ht="16.5" customHeight="1">
      <c r="A51" s="98" t="s">
        <v>52</v>
      </c>
      <c r="B51" s="147">
        <f>B49+B50</f>
        <v>24528.4</v>
      </c>
      <c r="C51" s="147">
        <f>C49+C50</f>
        <v>37528.4</v>
      </c>
      <c r="D51" s="147">
        <f t="shared" si="1"/>
        <v>62056.8</v>
      </c>
      <c r="E51" s="71"/>
      <c r="F51" s="84"/>
      <c r="G51" s="85"/>
      <c r="H51" s="79" t="s">
        <v>54</v>
      </c>
      <c r="I51" s="83">
        <f>'Family expenses'!B55*2</f>
        <v>657.3</v>
      </c>
      <c r="K51" s="76"/>
    </row>
    <row r="52" spans="1:11" ht="16.5" customHeight="1">
      <c r="A52" s="98" t="s">
        <v>55</v>
      </c>
      <c r="B52" s="147">
        <f>B49*0.0188</f>
        <v>705.5339200000001</v>
      </c>
      <c r="C52" s="147">
        <f>C49*0.0188</f>
        <v>705.5339200000001</v>
      </c>
      <c r="D52" s="147">
        <f t="shared" si="1"/>
        <v>1411.0678400000002</v>
      </c>
      <c r="E52" s="112"/>
      <c r="F52" s="118"/>
      <c r="G52" s="34"/>
      <c r="H52" s="79" t="s">
        <v>57</v>
      </c>
      <c r="I52" s="80">
        <f>IF(D51&lt;29186,(MIN(0.204*(D49-4750),1972)-0.165*(D51-17234)),0)</f>
        <v>0</v>
      </c>
      <c r="K52" s="76"/>
    </row>
    <row r="53" spans="1:9" ht="16.5" customHeight="1">
      <c r="A53" s="98" t="s">
        <v>58</v>
      </c>
      <c r="B53" s="147">
        <f>(B49-3500)*0.0495</f>
        <v>1684.4058000000002</v>
      </c>
      <c r="C53" s="147">
        <f>(C49-3500)*0.0495</f>
        <v>1684.4058000000002</v>
      </c>
      <c r="D53" s="147">
        <f t="shared" si="1"/>
        <v>3368.8116000000005</v>
      </c>
      <c r="E53" s="113"/>
      <c r="F53" s="142"/>
      <c r="G53" s="169"/>
      <c r="H53" s="24"/>
      <c r="I53" s="86"/>
    </row>
    <row r="54" spans="1:9" ht="16.5" customHeight="1">
      <c r="A54" s="98" t="s">
        <v>59</v>
      </c>
      <c r="B54" s="143">
        <f>MAX(0,(B51*0.15-(11474+B52+B53+1161+G49)*0.15))</f>
        <v>1274.8968420000006</v>
      </c>
      <c r="C54" s="148">
        <f>MAX(0,(C51*0.15-(11474+C52+C53+1161+I50+I48+(I51+120*8+20*8))*0.15))</f>
        <v>2836.2240420000003</v>
      </c>
      <c r="D54" s="143">
        <f t="shared" si="1"/>
        <v>4111.120884000001</v>
      </c>
      <c r="E54" s="114"/>
      <c r="F54" s="67"/>
      <c r="G54" s="67"/>
      <c r="H54" s="25"/>
      <c r="I54" s="25"/>
    </row>
    <row r="55" spans="1:9" ht="16.5" customHeight="1">
      <c r="A55" s="98" t="s">
        <v>85</v>
      </c>
      <c r="B55" s="143">
        <f>G50</f>
        <v>0</v>
      </c>
      <c r="C55" s="143">
        <f>I52</f>
        <v>0</v>
      </c>
      <c r="D55" s="143">
        <f t="shared" si="1"/>
        <v>0</v>
      </c>
      <c r="E55" s="115"/>
      <c r="F55" s="141"/>
      <c r="G55" s="170"/>
      <c r="I55" s="35"/>
    </row>
    <row r="56" spans="1:9" ht="16.5" customHeight="1">
      <c r="A56" s="98" t="s">
        <v>61</v>
      </c>
      <c r="B56" s="143">
        <f>MAX(0,(B51*0.0506-(10027+B52+B53+G49)*0.0506-MAX(0,436-(B51-19400)*0.0356)))</f>
        <v>308.6010413680001</v>
      </c>
      <c r="C56" s="148">
        <f>MAX(0,(C51*0.0506-(10027+C52+C53+I48+I49+(I51+60*8))*0.0506-MAX(0,436-(C51-19400)*0.0356)))</f>
        <v>1149.842510168</v>
      </c>
      <c r="D56" s="143">
        <f t="shared" si="1"/>
        <v>1458.443551536</v>
      </c>
      <c r="E56" s="114"/>
      <c r="F56" s="67"/>
      <c r="G56" s="138"/>
      <c r="H56" s="67"/>
      <c r="I56" s="34"/>
    </row>
    <row r="57" spans="1:11" ht="16.5" customHeight="1">
      <c r="A57" s="98" t="s">
        <v>62</v>
      </c>
      <c r="B57" s="143">
        <f>B49-SUM(B52:B56)</f>
        <v>33554.962396632</v>
      </c>
      <c r="C57" s="143">
        <f>C49-SUM(C52:C56)</f>
        <v>31152.393727832</v>
      </c>
      <c r="D57" s="143">
        <f>B57+C57</f>
        <v>64707.356124464</v>
      </c>
      <c r="E57" s="71"/>
      <c r="F57" s="71"/>
      <c r="H57" s="25"/>
      <c r="K57" s="25"/>
    </row>
    <row r="58" spans="1:9" ht="16.5" customHeight="1">
      <c r="A58" s="98" t="s">
        <v>63</v>
      </c>
      <c r="B58" s="143">
        <f>B57/12</f>
        <v>2796.246866386</v>
      </c>
      <c r="C58" s="143">
        <f>C57/12</f>
        <v>2596.0328106526667</v>
      </c>
      <c r="D58" s="143">
        <f>B58+C58</f>
        <v>5392.279677038667</v>
      </c>
      <c r="E58" s="71"/>
      <c r="F58" s="119"/>
      <c r="G58" s="6"/>
      <c r="H58" s="49"/>
      <c r="I58" s="49"/>
    </row>
    <row r="59" spans="1:8" ht="16.5" customHeight="1">
      <c r="A59" s="116"/>
      <c r="B59" s="117"/>
      <c r="C59" s="117"/>
      <c r="D59" s="117"/>
      <c r="E59" s="71"/>
      <c r="F59" s="71"/>
      <c r="H59" s="73"/>
    </row>
    <row r="60" spans="1:8" ht="16.5" customHeight="1">
      <c r="A60" s="71"/>
      <c r="B60" s="118"/>
      <c r="C60" s="118"/>
      <c r="D60" s="118"/>
      <c r="E60" s="119"/>
      <c r="F60" s="71"/>
      <c r="G60" s="25"/>
      <c r="H60" s="25"/>
    </row>
    <row r="61" spans="1:11" ht="16.5" customHeight="1">
      <c r="A61" s="119" t="s">
        <v>64</v>
      </c>
      <c r="B61" s="119"/>
      <c r="C61" s="119"/>
      <c r="D61" s="119"/>
      <c r="E61" s="71"/>
      <c r="F61" s="71"/>
      <c r="I61" s="6"/>
      <c r="J61" s="27"/>
      <c r="K61" s="25"/>
    </row>
    <row r="62" spans="1:11" ht="16.5" customHeight="1">
      <c r="A62" s="71"/>
      <c r="B62" s="71"/>
      <c r="C62" s="71"/>
      <c r="D62" s="71"/>
      <c r="E62" s="71"/>
      <c r="J62" s="27"/>
      <c r="K62" s="103"/>
    </row>
    <row r="63" spans="1:14" s="6" customFormat="1" ht="16.5" customHeight="1">
      <c r="A63" s="120" t="s">
        <v>65</v>
      </c>
      <c r="B63" s="120"/>
      <c r="C63" s="120"/>
      <c r="D63" s="121">
        <f>D49</f>
        <v>75056.8</v>
      </c>
      <c r="E63" s="71"/>
      <c r="F63"/>
      <c r="G63"/>
      <c r="H63"/>
      <c r="I63"/>
      <c r="J63" s="27"/>
      <c r="K63" s="27"/>
      <c r="L63"/>
      <c r="M63"/>
      <c r="N63"/>
    </row>
    <row r="64" spans="1:11" ht="16.5" customHeight="1">
      <c r="A64" s="89" t="s">
        <v>66</v>
      </c>
      <c r="B64" s="89"/>
      <c r="C64" s="89"/>
      <c r="D64" s="90">
        <f>SUM(B52:B56)+SUM(C52:C56)</f>
        <v>10349.443875536002</v>
      </c>
      <c r="J64" s="27"/>
      <c r="K64" s="27"/>
    </row>
    <row r="65" spans="1:14" ht="16.5" customHeight="1">
      <c r="A65" s="89" t="s">
        <v>67</v>
      </c>
      <c r="B65" s="89"/>
      <c r="C65" s="89"/>
      <c r="D65" s="90">
        <f>D63-D64</f>
        <v>64707.356124464</v>
      </c>
      <c r="J65" s="27"/>
      <c r="K65" s="27"/>
      <c r="N65" s="6"/>
    </row>
    <row r="66" spans="1:13" ht="16.5" customHeight="1">
      <c r="A66" s="89" t="s">
        <v>68</v>
      </c>
      <c r="B66" s="89"/>
      <c r="C66" s="89"/>
      <c r="D66" s="90">
        <f>C32</f>
        <v>8122.504000000001</v>
      </c>
      <c r="K66" s="27"/>
      <c r="M66" s="2"/>
    </row>
    <row r="67" spans="1:4" ht="16.5" customHeight="1">
      <c r="A67" s="89" t="s">
        <v>69</v>
      </c>
      <c r="B67" s="89"/>
      <c r="C67" s="89"/>
      <c r="D67" s="90">
        <f>D65+D66</f>
        <v>72829.860124464</v>
      </c>
    </row>
    <row r="68" spans="1:13" ht="16.5" customHeight="1">
      <c r="A68" s="89" t="s">
        <v>70</v>
      </c>
      <c r="B68" s="89"/>
      <c r="C68" s="89"/>
      <c r="D68" s="90">
        <f>C20</f>
        <v>72826.83307817017</v>
      </c>
      <c r="F68" s="6"/>
      <c r="G68" s="6"/>
      <c r="L68" s="6"/>
      <c r="M68" s="6"/>
    </row>
    <row r="69" spans="1:8" ht="16.5" customHeight="1">
      <c r="A69" s="89" t="s">
        <v>71</v>
      </c>
      <c r="B69" s="89"/>
      <c r="C69" s="89"/>
      <c r="D69" s="90">
        <f>D67-D68</f>
        <v>3.0270462938351557</v>
      </c>
      <c r="H69" s="6"/>
    </row>
    <row r="70" spans="5:7" ht="16.5" customHeight="1">
      <c r="E70" s="6"/>
      <c r="F70" s="10"/>
      <c r="G70" s="10"/>
    </row>
    <row r="71" spans="3:8" ht="16.5" customHeight="1">
      <c r="C71" s="6"/>
      <c r="H71" s="10"/>
    </row>
    <row r="72" spans="2:5" ht="16.5" customHeight="1">
      <c r="B72" s="25"/>
      <c r="E72" s="10"/>
    </row>
    <row r="73" spans="1:9" ht="12.75" customHeight="1">
      <c r="A73" s="10"/>
      <c r="B73" s="27"/>
      <c r="C73" s="27"/>
      <c r="D73" s="27"/>
      <c r="I73" s="10"/>
    </row>
    <row r="74" spans="2:4" ht="12">
      <c r="B74" s="25"/>
      <c r="C74" s="91"/>
      <c r="D74" s="25"/>
    </row>
    <row r="75" spans="1:6" ht="15">
      <c r="A75" s="3"/>
      <c r="B75" s="25"/>
      <c r="C75" s="91"/>
      <c r="D75" s="25"/>
      <c r="F75" s="9"/>
    </row>
    <row r="76" spans="2:6" ht="12">
      <c r="B76" s="25"/>
      <c r="C76" s="93"/>
      <c r="F76" s="9"/>
    </row>
    <row r="77" spans="2:6" ht="12">
      <c r="B77" s="25"/>
      <c r="C77" s="93"/>
      <c r="E77" s="9"/>
      <c r="F77" s="9"/>
    </row>
    <row r="78" spans="2:6" ht="12">
      <c r="B78" s="9"/>
      <c r="C78" s="9"/>
      <c r="D78" s="9"/>
      <c r="E78" s="9"/>
      <c r="F78" s="94"/>
    </row>
    <row r="79" spans="2:6" ht="12">
      <c r="B79" s="9"/>
      <c r="C79" s="9"/>
      <c r="D79" s="9"/>
      <c r="E79" s="9"/>
      <c r="F79" s="94"/>
    </row>
    <row r="80" spans="2:6" ht="12">
      <c r="B80" s="9"/>
      <c r="C80" s="9"/>
      <c r="D80" s="9"/>
      <c r="E80" s="43"/>
      <c r="F80" s="94"/>
    </row>
    <row r="81" spans="4:6" ht="12">
      <c r="D81" s="43"/>
      <c r="E81" s="43"/>
      <c r="F81" s="94"/>
    </row>
    <row r="82" spans="4:5" ht="12">
      <c r="D82" s="43"/>
      <c r="E82" s="43"/>
    </row>
    <row r="83" spans="4:5" ht="12">
      <c r="D83" s="43"/>
      <c r="E83" s="43"/>
    </row>
    <row r="84" spans="4:6" ht="12">
      <c r="D84" s="43"/>
      <c r="F84" s="9"/>
    </row>
    <row r="85" ht="12">
      <c r="F85" s="9"/>
    </row>
    <row r="86" spans="5:6" ht="12">
      <c r="E86" s="9"/>
      <c r="F86" s="9"/>
    </row>
    <row r="87" spans="2:6" ht="12">
      <c r="B87" s="9"/>
      <c r="C87" s="9"/>
      <c r="D87" s="9"/>
      <c r="E87" s="9"/>
      <c r="F87" s="94"/>
    </row>
    <row r="88" spans="2:6" ht="12">
      <c r="B88" s="9"/>
      <c r="C88" s="9"/>
      <c r="D88" s="9"/>
      <c r="E88" s="9"/>
      <c r="F88" s="94"/>
    </row>
    <row r="89" spans="2:6" ht="12">
      <c r="B89" s="9"/>
      <c r="C89" s="9"/>
      <c r="D89" s="9"/>
      <c r="E89" s="43"/>
      <c r="F89" s="94"/>
    </row>
    <row r="90" spans="4:6" ht="12">
      <c r="D90" s="43"/>
      <c r="E90" s="43"/>
      <c r="F90" s="94"/>
    </row>
    <row r="91" spans="4:5" ht="12">
      <c r="D91" s="43"/>
      <c r="E91" s="43"/>
    </row>
    <row r="92" spans="4:5" ht="12">
      <c r="D92" s="43"/>
      <c r="E92" s="43"/>
    </row>
    <row r="93" ht="12">
      <c r="D93" s="43"/>
    </row>
    <row r="94" spans="2:3" ht="12">
      <c r="B94" s="25"/>
      <c r="C94" s="91"/>
    </row>
    <row r="95" spans="2:6" ht="12">
      <c r="B95" s="25"/>
      <c r="C95" s="25"/>
      <c r="D95" s="25"/>
      <c r="F95" s="9"/>
    </row>
    <row r="96" spans="2:6" ht="12">
      <c r="B96" s="25"/>
      <c r="C96" s="93"/>
      <c r="F96" s="9"/>
    </row>
    <row r="97" spans="2:6" ht="12">
      <c r="B97" s="25"/>
      <c r="C97" s="93"/>
      <c r="E97" s="9"/>
      <c r="F97" s="9"/>
    </row>
    <row r="98" spans="2:6" ht="12">
      <c r="B98" s="9"/>
      <c r="C98" s="9"/>
      <c r="D98" s="9"/>
      <c r="E98" s="9"/>
      <c r="F98" s="94"/>
    </row>
    <row r="99" spans="2:6" ht="12">
      <c r="B99" s="9"/>
      <c r="C99" s="9"/>
      <c r="D99" s="9"/>
      <c r="E99" s="9"/>
      <c r="F99" s="94"/>
    </row>
    <row r="100" spans="2:6" ht="12">
      <c r="B100" s="9"/>
      <c r="C100" s="9"/>
      <c r="D100" s="9"/>
      <c r="E100" s="43"/>
      <c r="F100" s="94"/>
    </row>
    <row r="101" spans="4:6" ht="12">
      <c r="D101" s="43"/>
      <c r="E101" s="43"/>
      <c r="F101" s="94"/>
    </row>
    <row r="102" spans="4:5" ht="12">
      <c r="D102" s="43"/>
      <c r="E102" s="43"/>
    </row>
    <row r="103" spans="4:5" ht="12">
      <c r="D103" s="43"/>
      <c r="E103" s="43"/>
    </row>
    <row r="104" spans="4:6" ht="12">
      <c r="D104" s="43"/>
      <c r="F104" s="9"/>
    </row>
    <row r="105" ht="12">
      <c r="F105" s="9"/>
    </row>
    <row r="106" spans="5:6" ht="12">
      <c r="E106" s="9"/>
      <c r="F106" s="9"/>
    </row>
    <row r="107" spans="2:6" ht="12">
      <c r="B107" s="9"/>
      <c r="C107" s="9"/>
      <c r="D107" s="9"/>
      <c r="E107" s="9"/>
      <c r="F107" s="94"/>
    </row>
    <row r="108" spans="2:6" ht="12">
      <c r="B108" s="9"/>
      <c r="C108" s="9"/>
      <c r="D108" s="9"/>
      <c r="E108" s="9"/>
      <c r="F108" s="94"/>
    </row>
    <row r="109" spans="2:6" ht="12">
      <c r="B109" s="9"/>
      <c r="C109" s="9"/>
      <c r="D109" s="9"/>
      <c r="E109" s="43"/>
      <c r="F109" s="94"/>
    </row>
    <row r="110" spans="4:6" ht="12">
      <c r="D110" s="43"/>
      <c r="E110" s="43"/>
      <c r="F110" s="94"/>
    </row>
    <row r="111" spans="4:5" ht="12">
      <c r="D111" s="43"/>
      <c r="E111" s="43"/>
    </row>
    <row r="112" spans="4:5" ht="12">
      <c r="D112" s="43"/>
      <c r="E112" s="43"/>
    </row>
    <row r="113" ht="12">
      <c r="D113" s="43"/>
    </row>
  </sheetData>
  <sheetProtection/>
  <mergeCells count="3">
    <mergeCell ref="F47:G47"/>
    <mergeCell ref="H47:I47"/>
    <mergeCell ref="F46:I46"/>
  </mergeCells>
  <printOptions gridLines="1"/>
  <pageMargins left="0.75" right="0.5" top="0.5" bottom="0.5" header="0.5" footer="0.5"/>
  <pageSetup horizontalDpi="600" verticalDpi="600" orientation="portrait" scale="41"/>
  <colBreaks count="1" manualBreakCount="1">
    <brk id="15" max="65535" man="1"/>
  </colBreaks>
  <drawing r:id="rId1"/>
</worksheet>
</file>

<file path=xl/worksheets/sheet3.xml><?xml version="1.0" encoding="utf-8"?>
<worksheet xmlns="http://schemas.openxmlformats.org/spreadsheetml/2006/main" xmlns:r="http://schemas.openxmlformats.org/officeDocument/2006/relationships">
  <dimension ref="A1:J63"/>
  <sheetViews>
    <sheetView zoomScale="125" zoomScaleNormal="125" workbookViewId="0" topLeftCell="A1">
      <selection activeCell="A9" sqref="A9:B10"/>
    </sheetView>
  </sheetViews>
  <sheetFormatPr defaultColWidth="8.8515625" defaultRowHeight="12.75"/>
  <cols>
    <col min="1" max="1" width="58.421875" style="89" customWidth="1"/>
    <col min="2" max="2" width="14.28125" style="89" customWidth="1"/>
    <col min="3" max="3" width="40.421875" style="89" customWidth="1"/>
    <col min="4" max="4" width="6.00390625" style="89" customWidth="1"/>
    <col min="5" max="5" width="13.421875" style="89" customWidth="1"/>
    <col min="6" max="16384" width="8.8515625" style="89" customWidth="1"/>
  </cols>
  <sheetData>
    <row r="1" spans="1:9" ht="16.5" customHeight="1">
      <c r="A1" s="1" t="s">
        <v>123</v>
      </c>
      <c r="B1" s="1"/>
      <c r="C1" s="2"/>
      <c r="D1" s="2"/>
      <c r="E1" s="2"/>
      <c r="F1" s="2"/>
      <c r="G1" s="2"/>
      <c r="H1" s="2"/>
      <c r="I1" s="2"/>
    </row>
    <row r="2" spans="1:5" s="3" customFormat="1" ht="16.5" customHeight="1">
      <c r="A2" s="3" t="s">
        <v>0</v>
      </c>
      <c r="D2" s="4"/>
      <c r="E2" s="5"/>
    </row>
    <row r="3" spans="1:10" ht="16.5" customHeight="1">
      <c r="A3" s="2" t="s">
        <v>1</v>
      </c>
      <c r="C3" s="3"/>
      <c r="D3" s="4"/>
      <c r="E3" s="5"/>
      <c r="F3" s="3"/>
      <c r="G3" s="3"/>
      <c r="H3" s="3"/>
      <c r="I3" s="3"/>
      <c r="J3" s="3"/>
    </row>
    <row r="4" spans="1:10" ht="16.5" customHeight="1">
      <c r="A4" s="2"/>
      <c r="C4" s="3"/>
      <c r="D4" s="4"/>
      <c r="E4" s="5"/>
      <c r="F4" s="3"/>
      <c r="G4" s="3"/>
      <c r="H4" s="3"/>
      <c r="I4" s="3"/>
      <c r="J4" s="3"/>
    </row>
    <row r="5" spans="1:10" ht="16.5" customHeight="1">
      <c r="A5" s="10" t="s">
        <v>86</v>
      </c>
      <c r="C5" s="3"/>
      <c r="D5" s="4"/>
      <c r="E5" s="5"/>
      <c r="F5" s="3"/>
      <c r="G5" s="3"/>
      <c r="H5" s="3"/>
      <c r="I5" s="3"/>
      <c r="J5" s="3"/>
    </row>
    <row r="6" spans="1:2" ht="16.5" customHeight="1">
      <c r="A6" s="89" t="s">
        <v>116</v>
      </c>
      <c r="B6" s="129">
        <f>231+273+159+164</f>
        <v>827</v>
      </c>
    </row>
    <row r="7" spans="1:2" ht="16.5" customHeight="1">
      <c r="A7" s="89" t="s">
        <v>87</v>
      </c>
      <c r="B7" s="128">
        <v>974</v>
      </c>
    </row>
    <row r="8" spans="1:2" ht="24.75" customHeight="1">
      <c r="A8" s="159" t="s">
        <v>138</v>
      </c>
      <c r="B8" s="127">
        <v>978.92</v>
      </c>
    </row>
    <row r="9" spans="1:2" ht="16.5" customHeight="1">
      <c r="A9" s="89" t="s">
        <v>132</v>
      </c>
      <c r="B9" s="129">
        <v>134.5</v>
      </c>
    </row>
    <row r="10" spans="1:5" ht="16.5" customHeight="1">
      <c r="A10" s="89" t="s">
        <v>133</v>
      </c>
      <c r="B10" s="129">
        <v>136.9</v>
      </c>
      <c r="E10"/>
    </row>
    <row r="11" spans="1:5" ht="16.5" customHeight="1">
      <c r="A11" s="123" t="s">
        <v>88</v>
      </c>
      <c r="B11" s="136">
        <f>(B6/B7)*B8*B10/B9</f>
        <v>846.0088730487088</v>
      </c>
      <c r="E11"/>
    </row>
    <row r="12" spans="2:6" ht="16.5" customHeight="1">
      <c r="B12" s="128"/>
      <c r="E12" s="126"/>
      <c r="F12" s="126"/>
    </row>
    <row r="13" spans="1:2" ht="16.5" customHeight="1">
      <c r="A13" s="123" t="s">
        <v>89</v>
      </c>
      <c r="B13" s="128"/>
    </row>
    <row r="14" spans="1:2" ht="16.5" customHeight="1">
      <c r="A14" s="89" t="s">
        <v>124</v>
      </c>
      <c r="B14" s="128">
        <v>1879</v>
      </c>
    </row>
    <row r="15" spans="1:2" ht="16.5" customHeight="1">
      <c r="A15" s="89" t="s">
        <v>134</v>
      </c>
      <c r="B15" s="130">
        <v>101.2</v>
      </c>
    </row>
    <row r="16" spans="1:2" ht="16.5" customHeight="1">
      <c r="A16" s="89" t="s">
        <v>135</v>
      </c>
      <c r="B16" s="130">
        <v>104.7</v>
      </c>
    </row>
    <row r="17" spans="1:2" ht="16.5" customHeight="1">
      <c r="A17" s="123" t="s">
        <v>90</v>
      </c>
      <c r="B17" s="135">
        <f>B14*B16/B15</f>
        <v>1943.9851778656127</v>
      </c>
    </row>
    <row r="18" ht="16.5" customHeight="1">
      <c r="B18" s="128"/>
    </row>
    <row r="19" spans="1:8" ht="16.5" customHeight="1">
      <c r="A19" s="123" t="s">
        <v>91</v>
      </c>
      <c r="B19" s="128"/>
      <c r="C19" s="133"/>
      <c r="E19" s="137"/>
      <c r="F19" s="124"/>
      <c r="G19" s="124"/>
      <c r="H19" s="124"/>
    </row>
    <row r="20" spans="1:8" ht="16.5" customHeight="1">
      <c r="A20" s="125" t="s">
        <v>104</v>
      </c>
      <c r="B20" s="127">
        <v>1500</v>
      </c>
      <c r="C20" s="133"/>
      <c r="E20" s="139"/>
      <c r="F20" s="124"/>
      <c r="G20" s="124"/>
      <c r="H20" s="124"/>
    </row>
    <row r="21" spans="1:8" ht="16.5" customHeight="1">
      <c r="A21" s="89" t="s">
        <v>92</v>
      </c>
      <c r="B21" s="128">
        <f>102</f>
        <v>102</v>
      </c>
      <c r="C21" s="133"/>
      <c r="E21" s="166"/>
      <c r="F21" s="124"/>
      <c r="G21" s="124"/>
      <c r="H21" s="124"/>
    </row>
    <row r="22" spans="1:8" ht="16.5" customHeight="1">
      <c r="A22" s="89" t="s">
        <v>106</v>
      </c>
      <c r="B22" s="130">
        <v>115.1</v>
      </c>
      <c r="C22" s="133"/>
      <c r="E22" s="124"/>
      <c r="F22" s="137"/>
      <c r="G22" s="124"/>
      <c r="H22" s="124"/>
    </row>
    <row r="23" spans="1:8" ht="16.5" customHeight="1">
      <c r="A23" s="89" t="s">
        <v>125</v>
      </c>
      <c r="B23" s="130">
        <v>145.5</v>
      </c>
      <c r="C23" s="134"/>
      <c r="E23" s="139"/>
      <c r="F23" s="124"/>
      <c r="G23" s="124"/>
      <c r="H23" s="124"/>
    </row>
    <row r="24" spans="1:8" ht="16.5" customHeight="1">
      <c r="A24" s="125" t="s">
        <v>140</v>
      </c>
      <c r="B24" s="127">
        <f>2*39*1.12</f>
        <v>87.36000000000001</v>
      </c>
      <c r="E24" s="137"/>
      <c r="F24" s="124"/>
      <c r="G24" s="124"/>
      <c r="H24" s="124"/>
    </row>
    <row r="25" spans="1:8" ht="16.5" customHeight="1">
      <c r="A25" s="125" t="s">
        <v>139</v>
      </c>
      <c r="B25" s="127">
        <f>32.95*1.12</f>
        <v>36.904</v>
      </c>
      <c r="E25" s="137"/>
      <c r="F25" s="124"/>
      <c r="G25" s="124"/>
      <c r="H25" s="124"/>
    </row>
    <row r="26" spans="1:8" ht="16.5" customHeight="1">
      <c r="A26" s="125" t="s">
        <v>105</v>
      </c>
      <c r="B26" s="127">
        <v>33.75</v>
      </c>
      <c r="E26" s="172"/>
      <c r="F26" s="124"/>
      <c r="G26" s="139"/>
      <c r="H26" s="124"/>
    </row>
    <row r="27" spans="1:8" ht="16.5" customHeight="1">
      <c r="A27" s="123" t="s">
        <v>93</v>
      </c>
      <c r="B27" s="135">
        <f>B20+(B21*(B23/B22)+B24+B25+B26)</f>
        <v>1786.954052128584</v>
      </c>
      <c r="E27" s="124"/>
      <c r="F27" s="124"/>
      <c r="G27" s="124"/>
      <c r="H27" s="124"/>
    </row>
    <row r="28" spans="2:5" ht="16.5" customHeight="1">
      <c r="B28" s="128"/>
      <c r="E28" s="133"/>
    </row>
    <row r="29" spans="1:2" ht="16.5" customHeight="1">
      <c r="A29" s="123" t="s">
        <v>94</v>
      </c>
      <c r="B29" s="128"/>
    </row>
    <row r="30" spans="1:2" ht="16.5" customHeight="1">
      <c r="A30" s="89" t="s">
        <v>126</v>
      </c>
      <c r="B30" s="128">
        <v>5124</v>
      </c>
    </row>
    <row r="31" spans="1:5" ht="16.5" customHeight="1">
      <c r="A31" s="89" t="s">
        <v>131</v>
      </c>
      <c r="B31" s="130">
        <v>155.2</v>
      </c>
      <c r="E31" s="133"/>
    </row>
    <row r="32" spans="1:6" ht="16.5" customHeight="1">
      <c r="A32" s="89" t="s">
        <v>127</v>
      </c>
      <c r="B32" s="130">
        <v>151.3</v>
      </c>
      <c r="E32" s="133"/>
      <c r="F32" s="134"/>
    </row>
    <row r="33" spans="1:2" ht="16.5" customHeight="1">
      <c r="A33" s="125" t="s">
        <v>108</v>
      </c>
      <c r="B33" s="127">
        <f>124*4</f>
        <v>496</v>
      </c>
    </row>
    <row r="34" spans="1:7" ht="16.5" customHeight="1">
      <c r="A34" s="125" t="s">
        <v>107</v>
      </c>
      <c r="B34" s="127">
        <f>39.5*4+41*4</f>
        <v>322</v>
      </c>
      <c r="E34" s="173"/>
      <c r="G34" s="175"/>
    </row>
    <row r="35" spans="1:3" ht="16.5" customHeight="1">
      <c r="A35" s="123" t="s">
        <v>95</v>
      </c>
      <c r="B35" s="135">
        <f>(B30*(B32/B31))+B33+B34</f>
        <v>5813.23969072165</v>
      </c>
      <c r="C35" s="133"/>
    </row>
    <row r="36" spans="2:5" ht="16.5" customHeight="1">
      <c r="B36" s="128"/>
      <c r="E36" s="173"/>
    </row>
    <row r="37" spans="1:2" ht="16.5" customHeight="1">
      <c r="A37" s="123" t="s">
        <v>143</v>
      </c>
      <c r="B37" s="128"/>
    </row>
    <row r="38" spans="1:2" ht="16.5" customHeight="1">
      <c r="A38" s="89" t="s">
        <v>96</v>
      </c>
      <c r="B38" s="128"/>
    </row>
    <row r="39" spans="1:5" ht="16.5" customHeight="1">
      <c r="A39" s="89" t="s">
        <v>97</v>
      </c>
      <c r="B39" s="128">
        <f>0.754*(B11*12+B17)</f>
        <v>9120.453107455389</v>
      </c>
      <c r="E39" s="132"/>
    </row>
    <row r="40" spans="2:5" ht="16.5" customHeight="1">
      <c r="B40" s="128"/>
      <c r="C40"/>
      <c r="E40"/>
    </row>
    <row r="41" spans="1:5" ht="16.5" customHeight="1">
      <c r="A41" s="123" t="s">
        <v>15</v>
      </c>
      <c r="B41" s="128"/>
      <c r="C41"/>
      <c r="E41"/>
    </row>
    <row r="42" spans="1:8" ht="16.5" customHeight="1">
      <c r="A42" s="125" t="s">
        <v>98</v>
      </c>
      <c r="B42" s="127">
        <f>955*12</f>
        <v>11460</v>
      </c>
      <c r="C42"/>
      <c r="E42" s="174"/>
      <c r="G42" s="139"/>
      <c r="H42" s="133"/>
    </row>
    <row r="43" spans="1:8" ht="16.5" customHeight="1">
      <c r="A43" s="125" t="s">
        <v>120</v>
      </c>
      <c r="B43" s="127">
        <f>380*10</f>
        <v>3800</v>
      </c>
      <c r="C43"/>
      <c r="E43"/>
      <c r="G43" s="124"/>
      <c r="H43" s="133"/>
    </row>
    <row r="44" spans="1:8" ht="16.5" customHeight="1">
      <c r="A44" s="125" t="s">
        <v>110</v>
      </c>
      <c r="B44" s="127">
        <f>185*3</f>
        <v>555</v>
      </c>
      <c r="C44"/>
      <c r="G44" s="133"/>
      <c r="H44" s="133"/>
    </row>
    <row r="45" spans="1:8" ht="16.5" customHeight="1">
      <c r="A45" s="125" t="s">
        <v>109</v>
      </c>
      <c r="B45" s="127">
        <f>625+185*2</f>
        <v>995</v>
      </c>
      <c r="C45"/>
      <c r="G45" s="133"/>
      <c r="H45" s="133"/>
    </row>
    <row r="46" spans="1:9" ht="16.5" customHeight="1">
      <c r="A46" s="123" t="s">
        <v>99</v>
      </c>
      <c r="B46" s="135">
        <f>SUM(B42:B45)</f>
        <v>16810</v>
      </c>
      <c r="E46" s="133"/>
      <c r="G46" s="133"/>
      <c r="H46" s="133"/>
      <c r="I46" s="134"/>
    </row>
    <row r="47" spans="2:8" ht="16.5" customHeight="1">
      <c r="B47" s="128"/>
      <c r="H47" s="133"/>
    </row>
    <row r="48" spans="1:2" ht="16.5" customHeight="1">
      <c r="A48" s="123" t="s">
        <v>100</v>
      </c>
      <c r="B48" s="128"/>
    </row>
    <row r="49" spans="1:5" ht="16.5" customHeight="1">
      <c r="A49" s="89" t="s">
        <v>111</v>
      </c>
      <c r="B49" s="128">
        <v>150</v>
      </c>
      <c r="E49" s="133"/>
    </row>
    <row r="50" ht="16.5" customHeight="1">
      <c r="B50" s="128"/>
    </row>
    <row r="51" spans="1:2" ht="16.5" customHeight="1">
      <c r="A51" s="123" t="s">
        <v>101</v>
      </c>
      <c r="B51" s="128"/>
    </row>
    <row r="52" spans="1:3" ht="16.5" customHeight="1">
      <c r="A52" s="125" t="s">
        <v>102</v>
      </c>
      <c r="B52" s="127">
        <v>145</v>
      </c>
      <c r="C52" s="131"/>
    </row>
    <row r="53" ht="16.5" customHeight="1">
      <c r="B53" s="128"/>
    </row>
    <row r="54" spans="1:7" ht="16.5" customHeight="1">
      <c r="A54" s="123" t="s">
        <v>17</v>
      </c>
      <c r="B54" s="128"/>
      <c r="D54" s="123"/>
      <c r="E54" s="123"/>
      <c r="F54" s="123"/>
      <c r="G54" s="123"/>
    </row>
    <row r="55" spans="1:3" ht="16.5" customHeight="1">
      <c r="A55" s="125" t="s">
        <v>113</v>
      </c>
      <c r="B55" s="127">
        <f>AVERAGE(298.95,358.35)</f>
        <v>328.65</v>
      </c>
      <c r="C55" s="157"/>
    </row>
    <row r="56" spans="1:3" ht="16.5" customHeight="1">
      <c r="A56" s="125" t="s">
        <v>112</v>
      </c>
      <c r="B56" s="127">
        <f>34+46.95+23.8</f>
        <v>104.75</v>
      </c>
      <c r="C56" s="133"/>
    </row>
    <row r="57" spans="1:3" ht="16.5" customHeight="1">
      <c r="A57" s="125" t="s">
        <v>114</v>
      </c>
      <c r="B57" s="127">
        <v>125</v>
      </c>
      <c r="C57" s="133"/>
    </row>
    <row r="58" spans="1:2" ht="16.5" customHeight="1">
      <c r="A58" s="123" t="s">
        <v>103</v>
      </c>
      <c r="B58" s="135">
        <f>(B55*2)+(B56*2)+(B57*2)</f>
        <v>1116.8</v>
      </c>
    </row>
    <row r="63" ht="12.75">
      <c r="B63" s="157"/>
    </row>
  </sheetData>
  <sheetProtection/>
  <printOptions gridLines="1"/>
  <pageMargins left="0.75" right="0.5" top="0.5" bottom="0.5"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Iglika Ivanova</dc:creator>
  <cp:keywords/>
  <dc:description/>
  <cp:lastModifiedBy>Jean Kavanagh</cp:lastModifiedBy>
  <cp:lastPrinted>2017-02-01T00:03:53Z</cp:lastPrinted>
  <dcterms:created xsi:type="dcterms:W3CDTF">2015-03-18T23:56:01Z</dcterms:created>
  <dcterms:modified xsi:type="dcterms:W3CDTF">2017-04-25T21:24:26Z</dcterms:modified>
  <cp:category/>
  <cp:version/>
  <cp:contentType/>
  <cp:contentStatus/>
</cp:coreProperties>
</file>